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alpha\calidad\1. Procesos Telemedellín\1. Direccionamiento Estratégico\5. Planes de acción\Planes 2026\"/>
    </mc:Choice>
  </mc:AlternateContent>
  <bookViews>
    <workbookView xWindow="-105" yWindow="-105" windowWidth="19425" windowHeight="10305"/>
  </bookViews>
  <sheets>
    <sheet name="Telemedellín" sheetId="1" r:id="rId1"/>
    <sheet name="Hoja1" sheetId="5" state="hidden" r:id="rId2"/>
    <sheet name="Utilidades" sheetId="6" state="hidden" r:id="rId3"/>
    <sheet name="Tablas Resumen" sheetId="4" state="hidden" r:id="rId4"/>
  </sheets>
  <definedNames>
    <definedName name="_xlnm._FilterDatabase" localSheetId="0" hidden="1">Telemedellín!$A$9:$Z$116</definedName>
  </definedNames>
  <calcPr calcId="162913"/>
  <pivotCaches>
    <pivotCache cacheId="7"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9" i="1" l="1"/>
  <c r="S114" i="1"/>
  <c r="O112" i="1"/>
  <c r="S108" i="1" l="1"/>
  <c r="O108" i="1"/>
  <c r="O105" i="1"/>
  <c r="O52" i="1" l="1"/>
  <c r="O48" i="1"/>
  <c r="O47" i="1" l="1"/>
  <c r="O46" i="1"/>
  <c r="O45" i="1"/>
  <c r="O44" i="1"/>
  <c r="O43" i="1"/>
  <c r="S96" i="1" l="1"/>
  <c r="U96" i="1" s="1"/>
  <c r="V96" i="1" s="1"/>
  <c r="O124" i="1"/>
  <c r="S77" i="1" l="1"/>
  <c r="S105" i="1" l="1"/>
  <c r="U105" i="1" s="1"/>
  <c r="V105" i="1" s="1"/>
  <c r="S56" i="1"/>
  <c r="U56" i="1" s="1"/>
  <c r="V56" i="1" s="1"/>
  <c r="S55" i="1"/>
  <c r="U55" i="1" s="1"/>
  <c r="V55" i="1" s="1"/>
  <c r="S54" i="1"/>
  <c r="U54" i="1" s="1"/>
  <c r="V54" i="1" s="1"/>
  <c r="S53" i="1"/>
  <c r="U53" i="1" s="1"/>
  <c r="V53" i="1" s="1"/>
  <c r="S52" i="1"/>
  <c r="U52" i="1" s="1"/>
  <c r="V52" i="1" s="1"/>
  <c r="M11" i="6"/>
  <c r="M10" i="6"/>
  <c r="M9" i="6"/>
  <c r="M8" i="6"/>
  <c r="M7" i="6"/>
  <c r="M6" i="6"/>
  <c r="M5" i="6"/>
  <c r="J11" i="6"/>
  <c r="J10" i="6"/>
  <c r="J9" i="6"/>
  <c r="J8" i="6"/>
  <c r="J7" i="6"/>
  <c r="J6" i="6"/>
  <c r="J5" i="6"/>
  <c r="G11" i="6"/>
  <c r="G10" i="6"/>
  <c r="G9" i="6"/>
  <c r="G8" i="6"/>
  <c r="G7" i="6"/>
  <c r="G6" i="6"/>
  <c r="G5" i="6"/>
  <c r="D6" i="6"/>
  <c r="D7" i="6"/>
  <c r="D8" i="6"/>
  <c r="D9" i="6"/>
  <c r="D10" i="6"/>
  <c r="D11" i="6"/>
  <c r="D5" i="6"/>
  <c r="C22" i="5"/>
  <c r="D22" i="5"/>
  <c r="B22" i="5"/>
  <c r="D17" i="5"/>
  <c r="D16" i="5"/>
  <c r="D12" i="5"/>
  <c r="D11" i="5"/>
  <c r="D7" i="5"/>
  <c r="D6" i="5"/>
  <c r="S41" i="1"/>
  <c r="U41" i="1" s="1"/>
  <c r="V41" i="1" s="1"/>
  <c r="S51" i="1"/>
  <c r="U51" i="1" s="1"/>
  <c r="V51" i="1" s="1"/>
  <c r="S113" i="1"/>
  <c r="U113" i="1" s="1"/>
  <c r="V113" i="1" s="1"/>
  <c r="S21" i="1"/>
  <c r="U21" i="1" s="1"/>
  <c r="V21" i="1" s="1"/>
  <c r="S22" i="1"/>
  <c r="U22" i="1" s="1"/>
  <c r="V22" i="1" s="1"/>
  <c r="S23" i="1"/>
  <c r="U23" i="1" s="1"/>
  <c r="V23" i="1" s="1"/>
  <c r="S42" i="1"/>
  <c r="U42" i="1" s="1"/>
  <c r="V42" i="1" s="1"/>
  <c r="S43" i="1"/>
  <c r="U43" i="1" s="1"/>
  <c r="V43" i="1" s="1"/>
  <c r="S40" i="1"/>
  <c r="U40" i="1" s="1"/>
  <c r="V40" i="1" s="1"/>
  <c r="S74" i="1"/>
  <c r="U74" i="1" s="1"/>
  <c r="V74" i="1" s="1"/>
  <c r="S110" i="1"/>
  <c r="U110" i="1" s="1"/>
  <c r="V110" i="1" s="1"/>
  <c r="S44" i="1"/>
  <c r="U44" i="1" s="1"/>
  <c r="V44" i="1" s="1"/>
  <c r="S39" i="1"/>
  <c r="U39" i="1" s="1"/>
  <c r="V39" i="1" s="1"/>
  <c r="S84" i="1"/>
  <c r="U84" i="1" s="1"/>
  <c r="V84" i="1" s="1"/>
  <c r="S115" i="1"/>
  <c r="U115" i="1" s="1"/>
  <c r="V115" i="1" s="1"/>
  <c r="U114" i="1"/>
  <c r="V114" i="1" s="1"/>
  <c r="S112" i="1"/>
  <c r="U112" i="1" s="1"/>
  <c r="V112" i="1" s="1"/>
  <c r="S111" i="1"/>
  <c r="U111" i="1" s="1"/>
  <c r="V111" i="1" s="1"/>
  <c r="S109" i="1"/>
  <c r="U109" i="1" s="1"/>
  <c r="V109" i="1" s="1"/>
  <c r="U108" i="1"/>
  <c r="V108" i="1" s="1"/>
  <c r="S107" i="1"/>
  <c r="U107" i="1" s="1"/>
  <c r="V107" i="1" s="1"/>
  <c r="S106" i="1"/>
  <c r="U106" i="1" s="1"/>
  <c r="V106" i="1" s="1"/>
  <c r="S104" i="1"/>
  <c r="U104" i="1" s="1"/>
  <c r="V104" i="1" s="1"/>
  <c r="S103" i="1"/>
  <c r="U103" i="1" s="1"/>
  <c r="V103" i="1" s="1"/>
  <c r="S102" i="1"/>
  <c r="U102" i="1" s="1"/>
  <c r="V102" i="1" s="1"/>
  <c r="S101" i="1"/>
  <c r="U101" i="1" s="1"/>
  <c r="V101" i="1" s="1"/>
  <c r="S100" i="1"/>
  <c r="U100" i="1" s="1"/>
  <c r="V100" i="1" s="1"/>
  <c r="S99" i="1"/>
  <c r="U99" i="1" s="1"/>
  <c r="V99" i="1" s="1"/>
  <c r="S98" i="1"/>
  <c r="U98" i="1" s="1"/>
  <c r="V98" i="1" s="1"/>
  <c r="S97" i="1"/>
  <c r="U97" i="1" s="1"/>
  <c r="V97" i="1" s="1"/>
  <c r="S95" i="1"/>
  <c r="U95" i="1" s="1"/>
  <c r="V95" i="1" s="1"/>
  <c r="S94" i="1"/>
  <c r="U94" i="1" s="1"/>
  <c r="V94" i="1" s="1"/>
  <c r="S93" i="1"/>
  <c r="U93" i="1" s="1"/>
  <c r="V93" i="1" s="1"/>
  <c r="S92" i="1"/>
  <c r="U92" i="1" s="1"/>
  <c r="V92" i="1" s="1"/>
  <c r="S91" i="1"/>
  <c r="U91" i="1" s="1"/>
  <c r="V91" i="1" s="1"/>
  <c r="S90" i="1"/>
  <c r="U90" i="1" s="1"/>
  <c r="V90" i="1" s="1"/>
  <c r="S89" i="1"/>
  <c r="U89" i="1" s="1"/>
  <c r="V89" i="1" s="1"/>
  <c r="S88" i="1"/>
  <c r="U88" i="1" s="1"/>
  <c r="V88" i="1" s="1"/>
  <c r="S87" i="1"/>
  <c r="U87" i="1" s="1"/>
  <c r="V87" i="1" s="1"/>
  <c r="S86" i="1"/>
  <c r="U86" i="1" s="1"/>
  <c r="V86" i="1" s="1"/>
  <c r="S85" i="1"/>
  <c r="U85" i="1" s="1"/>
  <c r="V85" i="1" s="1"/>
  <c r="S83" i="1"/>
  <c r="U83" i="1" s="1"/>
  <c r="V83" i="1" s="1"/>
  <c r="S82" i="1"/>
  <c r="U82" i="1" s="1"/>
  <c r="V82" i="1" s="1"/>
  <c r="S81" i="1"/>
  <c r="U81" i="1" s="1"/>
  <c r="V81" i="1" s="1"/>
  <c r="S80" i="1"/>
  <c r="U80" i="1" s="1"/>
  <c r="V80" i="1" s="1"/>
  <c r="S79" i="1"/>
  <c r="U79" i="1" s="1"/>
  <c r="V79" i="1" s="1"/>
  <c r="S78" i="1"/>
  <c r="U78" i="1" s="1"/>
  <c r="V78" i="1" s="1"/>
  <c r="U77" i="1"/>
  <c r="V77" i="1" s="1"/>
  <c r="S76" i="1"/>
  <c r="U76" i="1" s="1"/>
  <c r="V76" i="1" s="1"/>
  <c r="S75" i="1"/>
  <c r="U75" i="1" s="1"/>
  <c r="V75" i="1" s="1"/>
  <c r="S73" i="1"/>
  <c r="U73" i="1" s="1"/>
  <c r="V73" i="1" s="1"/>
  <c r="S72" i="1"/>
  <c r="U72" i="1" s="1"/>
  <c r="V72" i="1" s="1"/>
  <c r="S71" i="1"/>
  <c r="U71" i="1" s="1"/>
  <c r="V71" i="1" s="1"/>
  <c r="S70" i="1"/>
  <c r="U70" i="1" s="1"/>
  <c r="V70" i="1" s="1"/>
  <c r="S69" i="1"/>
  <c r="U69" i="1" s="1"/>
  <c r="V69" i="1" s="1"/>
  <c r="S68" i="1"/>
  <c r="U68" i="1" s="1"/>
  <c r="V68" i="1" s="1"/>
  <c r="S67" i="1"/>
  <c r="U67" i="1" s="1"/>
  <c r="V67" i="1" s="1"/>
  <c r="S66" i="1"/>
  <c r="U66" i="1" s="1"/>
  <c r="V66" i="1" s="1"/>
  <c r="S65" i="1"/>
  <c r="U65" i="1" s="1"/>
  <c r="V65" i="1" s="1"/>
  <c r="S64" i="1"/>
  <c r="U64" i="1" s="1"/>
  <c r="V64" i="1" s="1"/>
  <c r="S63" i="1"/>
  <c r="U63" i="1" s="1"/>
  <c r="V63" i="1" s="1"/>
  <c r="S62" i="1"/>
  <c r="U62" i="1" s="1"/>
  <c r="V62" i="1" s="1"/>
  <c r="S61" i="1"/>
  <c r="U61" i="1" s="1"/>
  <c r="V61" i="1" s="1"/>
  <c r="S60" i="1"/>
  <c r="U60" i="1" s="1"/>
  <c r="V60" i="1" s="1"/>
  <c r="S59" i="1"/>
  <c r="U59" i="1" s="1"/>
  <c r="V59" i="1" s="1"/>
  <c r="S58" i="1"/>
  <c r="U58" i="1" s="1"/>
  <c r="V58" i="1" s="1"/>
  <c r="S57" i="1"/>
  <c r="U57" i="1" s="1"/>
  <c r="V57" i="1" s="1"/>
  <c r="S50" i="1"/>
  <c r="U50" i="1" s="1"/>
  <c r="V50" i="1" s="1"/>
  <c r="S49" i="1"/>
  <c r="U49" i="1" s="1"/>
  <c r="V49" i="1" s="1"/>
  <c r="S48" i="1"/>
  <c r="U48" i="1" s="1"/>
  <c r="V48" i="1" s="1"/>
  <c r="S47" i="1"/>
  <c r="U47" i="1" s="1"/>
  <c r="V47" i="1" s="1"/>
  <c r="S46" i="1"/>
  <c r="U46" i="1" s="1"/>
  <c r="V46" i="1" s="1"/>
  <c r="S45" i="1"/>
  <c r="U45" i="1" s="1"/>
  <c r="V45" i="1" s="1"/>
  <c r="S38" i="1"/>
  <c r="U38" i="1" s="1"/>
  <c r="V38" i="1" s="1"/>
  <c r="S37" i="1"/>
  <c r="U37" i="1" s="1"/>
  <c r="V37" i="1" s="1"/>
  <c r="S36" i="1"/>
  <c r="U36" i="1" s="1"/>
  <c r="V36" i="1" s="1"/>
  <c r="S35" i="1"/>
  <c r="U35" i="1" s="1"/>
  <c r="V35" i="1" s="1"/>
  <c r="S34" i="1"/>
  <c r="U34" i="1" s="1"/>
  <c r="V34" i="1" s="1"/>
  <c r="S33" i="1"/>
  <c r="U33" i="1" s="1"/>
  <c r="V33" i="1" s="1"/>
  <c r="S32" i="1"/>
  <c r="U32" i="1" s="1"/>
  <c r="V32" i="1" s="1"/>
  <c r="S31" i="1"/>
  <c r="U31" i="1" s="1"/>
  <c r="V31" i="1" s="1"/>
  <c r="S30" i="1"/>
  <c r="U30" i="1" s="1"/>
  <c r="V30" i="1" s="1"/>
  <c r="S29" i="1"/>
  <c r="U29" i="1" s="1"/>
  <c r="V29" i="1" s="1"/>
  <c r="S28" i="1"/>
  <c r="U28" i="1" s="1"/>
  <c r="V28" i="1" s="1"/>
  <c r="S27" i="1"/>
  <c r="U27" i="1" s="1"/>
  <c r="V27" i="1" s="1"/>
  <c r="S26" i="1"/>
  <c r="U26" i="1" s="1"/>
  <c r="V26" i="1" s="1"/>
  <c r="S25" i="1"/>
  <c r="U25" i="1" s="1"/>
  <c r="V25" i="1" s="1"/>
  <c r="S24" i="1"/>
  <c r="U24" i="1" s="1"/>
  <c r="V24" i="1" s="1"/>
  <c r="S20" i="1"/>
  <c r="U20" i="1" s="1"/>
  <c r="V20" i="1" s="1"/>
  <c r="S19" i="1"/>
  <c r="U19" i="1" s="1"/>
  <c r="V19" i="1" s="1"/>
  <c r="S18" i="1"/>
  <c r="U18" i="1" s="1"/>
  <c r="V18" i="1" s="1"/>
  <c r="S17" i="1"/>
  <c r="U17" i="1" s="1"/>
  <c r="V17" i="1" s="1"/>
  <c r="S16" i="1"/>
  <c r="U16" i="1" s="1"/>
  <c r="V16" i="1" s="1"/>
  <c r="S15" i="1"/>
  <c r="U15" i="1" s="1"/>
  <c r="V15" i="1" s="1"/>
  <c r="S14" i="1"/>
  <c r="U14" i="1" s="1"/>
  <c r="V14" i="1" s="1"/>
  <c r="S13" i="1"/>
  <c r="U13" i="1" s="1"/>
  <c r="V13" i="1" s="1"/>
  <c r="S12" i="1"/>
  <c r="U12" i="1" s="1"/>
  <c r="V12" i="1" s="1"/>
  <c r="S11" i="1"/>
  <c r="U11" i="1" s="1"/>
  <c r="V11" i="1" s="1"/>
  <c r="S10" i="1"/>
  <c r="U10" i="1" s="1"/>
  <c r="V10" i="1" s="1"/>
  <c r="D35" i="4"/>
  <c r="D31" i="4"/>
  <c r="D27" i="4"/>
  <c r="D30" i="4"/>
  <c r="D29" i="4"/>
  <c r="D26" i="4"/>
  <c r="D36" i="4"/>
  <c r="D33" i="4"/>
  <c r="D28" i="4"/>
  <c r="D32" i="4"/>
  <c r="D34" i="4"/>
  <c r="G2" i="4" l="1"/>
  <c r="G3" i="4" s="1"/>
</calcChain>
</file>

<file path=xl/comments1.xml><?xml version="1.0" encoding="utf-8"?>
<comments xmlns="http://schemas.openxmlformats.org/spreadsheetml/2006/main">
  <authors>
    <author>Victor Rico</author>
    <author>Juan Esteban Morales Rojas</author>
    <author>Juan Morales</author>
  </authors>
  <commentList>
    <comment ref="I9" authorId="0" shapeId="0">
      <text>
        <r>
          <rPr>
            <b/>
            <sz val="9"/>
            <color indexed="81"/>
            <rFont val="Tahoma"/>
            <family val="2"/>
          </rPr>
          <t>Victor Rico:</t>
        </r>
        <r>
          <rPr>
            <sz val="9"/>
            <color indexed="81"/>
            <rFont val="Tahoma"/>
            <family val="2"/>
          </rPr>
          <t xml:space="preserve">
Eficiencia
La eficiencia se refiere a la capacidad de lograr un resultado deseado utilizando la menor cantidad de recursos posible. Implica optimizar procesos y maximizar la producción con el mínimo de insumos, tiempo o esfuerzo. Se mide a menudo en términos de relación entre los recursos utilizados y los resultados obtenidos.
Eficacia
La eficacia se centra en la capacidad de alcanzar los objetivos establecidos, sin considerar los recursos utilizados. Un objetivo es eficaz si se logra, independientemente de los medios empleados. Se trata de la medida del éxito en el cumplimiento de metas y propósitos.
Efectividad
La efectividad combina los conceptos de eficiencia y eficacia. Se refiere a la capacidad de no solo cumplir con los objetivos (eficacia), sino también de hacerlo de manera que se utilicen los recursos de forma óptima (eficiencia). La efectividad es, por lo tanto, una evaluación más holística del desempeño de un proceso o proyecto.</t>
        </r>
      </text>
    </comment>
    <comment ref="M12" authorId="1" shapeId="0">
      <text>
        <r>
          <rPr>
            <b/>
            <sz val="9"/>
            <color indexed="81"/>
            <rFont val="Tahoma"/>
            <charset val="1"/>
          </rPr>
          <t>La meta estaba en 1,3, la directora indica superarla a 1,5 ya que este producto ha tenido excelentes resultados.</t>
        </r>
      </text>
    </comment>
    <comment ref="J23" authorId="2" shapeId="0">
      <text>
        <r>
          <rPr>
            <b/>
            <sz val="9"/>
            <color indexed="81"/>
            <rFont val="Tahoma"/>
            <charset val="1"/>
          </rPr>
          <t>Medición en segundos</t>
        </r>
      </text>
    </comment>
    <comment ref="M23" authorId="0" shapeId="0">
      <text>
        <r>
          <rPr>
            <b/>
            <sz val="9"/>
            <color indexed="81"/>
            <rFont val="Tahoma"/>
            <family val="2"/>
          </rPr>
          <t>Se calcula en segundos 1 minuto y 50 segundos</t>
        </r>
      </text>
    </comment>
  </commentList>
</comments>
</file>

<file path=xl/comments2.xml><?xml version="1.0" encoding="utf-8"?>
<comments xmlns="http://schemas.openxmlformats.org/spreadsheetml/2006/main">
  <authors>
    <author>Juan Morales</author>
  </authors>
  <commentList>
    <comment ref="A11" authorId="0" shapeId="0">
      <text>
        <r>
          <rPr>
            <b/>
            <sz val="9"/>
            <color indexed="81"/>
            <rFont val="Tahoma"/>
            <family val="2"/>
          </rPr>
          <t>Juan Morales:</t>
        </r>
        <r>
          <rPr>
            <sz val="9"/>
            <color indexed="81"/>
            <rFont val="Tahoma"/>
            <family val="2"/>
          </rPr>
          <t xml:space="preserve">
Agencia, formación, otros</t>
        </r>
      </text>
    </comment>
  </commentList>
</comments>
</file>

<file path=xl/comments3.xml><?xml version="1.0" encoding="utf-8"?>
<comments xmlns="http://schemas.openxmlformats.org/spreadsheetml/2006/main">
  <authors>
    <author>Juan Morales</author>
  </authors>
  <commentList>
    <comment ref="B4" authorId="0" shapeId="0">
      <text>
        <r>
          <rPr>
            <b/>
            <sz val="9"/>
            <color indexed="81"/>
            <rFont val="Tahoma"/>
            <family val="2"/>
          </rPr>
          <t>Juan Morales:</t>
        </r>
        <r>
          <rPr>
            <sz val="9"/>
            <color indexed="81"/>
            <rFont val="Tahoma"/>
            <family val="2"/>
          </rPr>
          <t xml:space="preserve">
Ingresos basados en facturación efectiva</t>
        </r>
      </text>
    </comment>
    <comment ref="E4" authorId="0" shapeId="0">
      <text>
        <r>
          <rPr>
            <b/>
            <sz val="9"/>
            <color indexed="81"/>
            <rFont val="Tahoma"/>
            <family val="2"/>
          </rPr>
          <t>Juan Morales:</t>
        </r>
        <r>
          <rPr>
            <sz val="9"/>
            <color indexed="81"/>
            <rFont val="Tahoma"/>
            <family val="2"/>
          </rPr>
          <t xml:space="preserve">
Ingresos basados en facturación efectiva</t>
        </r>
      </text>
    </comment>
    <comment ref="H4" authorId="0" shapeId="0">
      <text>
        <r>
          <rPr>
            <b/>
            <sz val="9"/>
            <color indexed="81"/>
            <rFont val="Tahoma"/>
            <family val="2"/>
          </rPr>
          <t>Juan Morales:</t>
        </r>
        <r>
          <rPr>
            <sz val="9"/>
            <color indexed="81"/>
            <rFont val="Tahoma"/>
            <family val="2"/>
          </rPr>
          <t xml:space="preserve">
Ingresos basados en facturación efectiva</t>
        </r>
      </text>
    </comment>
    <comment ref="I4" authorId="0" shapeId="0">
      <text>
        <r>
          <rPr>
            <b/>
            <sz val="9"/>
            <color indexed="81"/>
            <rFont val="Tahoma"/>
            <family val="2"/>
          </rPr>
          <t>Juan Morales:</t>
        </r>
        <r>
          <rPr>
            <sz val="9"/>
            <color indexed="81"/>
            <rFont val="Tahoma"/>
            <family val="2"/>
          </rPr>
          <t xml:space="preserve">
Ingresos basados en facturación efectiva</t>
        </r>
      </text>
    </comment>
    <comment ref="K4" authorId="0" shapeId="0">
      <text>
        <r>
          <rPr>
            <b/>
            <sz val="9"/>
            <color indexed="81"/>
            <rFont val="Tahoma"/>
            <family val="2"/>
          </rPr>
          <t>Juan Morales:</t>
        </r>
        <r>
          <rPr>
            <sz val="9"/>
            <color indexed="81"/>
            <rFont val="Tahoma"/>
            <family val="2"/>
          </rPr>
          <t xml:space="preserve">
Ingresos basados en facturación efectiva</t>
        </r>
      </text>
    </comment>
    <comment ref="A8" authorId="0" shapeId="0">
      <text>
        <r>
          <rPr>
            <b/>
            <sz val="9"/>
            <color indexed="81"/>
            <rFont val="Tahoma"/>
            <family val="2"/>
          </rPr>
          <t>Juan Morales:</t>
        </r>
        <r>
          <rPr>
            <sz val="9"/>
            <color indexed="81"/>
            <rFont val="Tahoma"/>
            <family val="2"/>
          </rPr>
          <t xml:space="preserve">
Agencia, formación, otros</t>
        </r>
      </text>
    </comment>
  </commentList>
</comments>
</file>

<file path=xl/sharedStrings.xml><?xml version="1.0" encoding="utf-8"?>
<sst xmlns="http://schemas.openxmlformats.org/spreadsheetml/2006/main" count="1508" uniqueCount="464">
  <si>
    <t>ELABORACIÓN Y SEGUIMIENTO DEL PLAN DE ACCIÓN</t>
  </si>
  <si>
    <t>FORMULACIÓN</t>
  </si>
  <si>
    <t>SEGUIMIENTO</t>
  </si>
  <si>
    <t>ANÁLISIS</t>
  </si>
  <si>
    <t>DIMENSIÓN PLAN DE DESARROLLO ALCALDÍA DE MEDELLÍN</t>
  </si>
  <si>
    <t xml:space="preserve">OBJETIVO ESTRATÉGICO </t>
  </si>
  <si>
    <t>LÍNEA ESTRATÉGICA</t>
  </si>
  <si>
    <t>PONDERACIÓN</t>
  </si>
  <si>
    <t>RESPONSABLE</t>
  </si>
  <si>
    <t>Valor alcanzado 1° trimestre</t>
  </si>
  <si>
    <t>Valor alcanzado 2° trimestre</t>
  </si>
  <si>
    <t>Valor alcanzado 3° trimestre</t>
  </si>
  <si>
    <t>Valor alcanzado 4° trimestre</t>
  </si>
  <si>
    <t>Porcentaje alcanzado de la meta</t>
  </si>
  <si>
    <t>Análisis 1° trimestre</t>
  </si>
  <si>
    <t>Análisis 2° trimestre</t>
  </si>
  <si>
    <t>Análisis 3° trimestre</t>
  </si>
  <si>
    <t>Análisis 4° trimestre</t>
  </si>
  <si>
    <t>Nombre indicador</t>
  </si>
  <si>
    <t>Objetivo del indicador</t>
  </si>
  <si>
    <t>Mide</t>
  </si>
  <si>
    <t>Fórmula</t>
  </si>
  <si>
    <t>Periodicidad</t>
  </si>
  <si>
    <t>Meta</t>
  </si>
  <si>
    <t>Informe de gestión</t>
  </si>
  <si>
    <t>Rendir ante la comunidad y el público general interesado la información de las diferentes acciones y manejos que se han realizado de la entidad.</t>
  </si>
  <si>
    <t>Cantidad de informes de gestión presentados a la ciudadanía</t>
  </si>
  <si>
    <t>Trimestral</t>
  </si>
  <si>
    <t>CÓDIGO: FT-PE-GE-02
VERSIÓN: 05
FECHA: 01/03/2021</t>
  </si>
  <si>
    <t>INS / Identificación</t>
  </si>
  <si>
    <t>3.4.6-COMUNICACIÓN PÚBLICA PARA EL FORTALECIMIENTO DE LA INSTITUCIONALIDAD Y LA CONFIANZA CIUDADANA</t>
  </si>
  <si>
    <t>EN TM NOS VEMOS Y NOS ESCUCHAMOS</t>
  </si>
  <si>
    <t>EN TM NOS CONECTAMOS</t>
  </si>
  <si>
    <t>EN TM NOS CONOCEMOS</t>
  </si>
  <si>
    <t>EN TM NOS TRANSFORMAMOS</t>
  </si>
  <si>
    <t>EN TM NOS PROYECTAMOS</t>
  </si>
  <si>
    <t>EN TM NOS CUIDAMOS</t>
  </si>
  <si>
    <t>EN TM NOS POTENCIAMOS</t>
  </si>
  <si>
    <t>Dirección de Contenidos y Distribución</t>
  </si>
  <si>
    <t>Dirección de Contenidos y Distribución (Digital)</t>
  </si>
  <si>
    <t>Dirección de Relaciones Corporativas</t>
  </si>
  <si>
    <t>Dirección de Tecnología e Innovación</t>
  </si>
  <si>
    <t>Dirección Administrativa y Financiera</t>
  </si>
  <si>
    <t>Jefatura de Gestión Humana</t>
  </si>
  <si>
    <t>Agencia TM</t>
  </si>
  <si>
    <t>Control Interno</t>
  </si>
  <si>
    <t>Planeación</t>
  </si>
  <si>
    <t>Producción</t>
  </si>
  <si>
    <t>Secretaría General</t>
  </si>
  <si>
    <t>Ranking encuesta “Cómo se informan los líderes”</t>
  </si>
  <si>
    <t>Evaluar la posición ranking del departamento Antioquia: Medios regionales de mayor influencia</t>
  </si>
  <si>
    <t>Porcentaje en la encuesta “Cómo se informan los líderes”</t>
  </si>
  <si>
    <t>Evaluar la posición porcentual Antioquia: Medios regionales de mayor influencia</t>
  </si>
  <si>
    <t>Rating promedio Sistema informativo</t>
  </si>
  <si>
    <t>Evaluar el rating promedio 20 emisiones estreno más vistas del Sistema Informativo en Antioquia</t>
  </si>
  <si>
    <t>Horas estreno franja informativa</t>
  </si>
  <si>
    <t>Emitir horas estreno programas franja Informativa, Opinión, Investigación</t>
  </si>
  <si>
    <t>Rating promedio franja Cultura Ciudadana, Deporte y Entretenimiento.</t>
  </si>
  <si>
    <t>Evaluar el rating promedio de las 20 emisiones más vistas de los programas que componen la franja Cultura Ciudadana, Deporte y Entretenimiento.</t>
  </si>
  <si>
    <t>Horas estreno franja Cultura Ciudadana, Deporte y Entretenimiento.</t>
  </si>
  <si>
    <t>Emitir horas estreno programas propios que componen la franja Cultura Ciudadana, Deporte y Entretenimiento.</t>
  </si>
  <si>
    <t>Horas estreno franja Comunicación Pública.</t>
  </si>
  <si>
    <t>Emitir horas estreno de programas que componen franja Comunicación Pública.</t>
  </si>
  <si>
    <t>Alianzas Internacionales para intercambio de contenidos</t>
  </si>
  <si>
    <t>Medir las alianzas Internacionales para intercambio de contenidos producidos por Telemedellín.</t>
  </si>
  <si>
    <t>Galardones</t>
  </si>
  <si>
    <t>Medir los Galardones obtenidos. (Galardones obtenidos con producciones propias y/o coproducción)</t>
  </si>
  <si>
    <t>Horas franja laboratorio de Videopodcast Podcast</t>
  </si>
  <si>
    <t>Emitir horas en la franja laboratorio de Videopodcast Podcast y Videopodcast producidos en Telemedellín</t>
  </si>
  <si>
    <t>Proyectos Podcast y Videopodcast</t>
  </si>
  <si>
    <t>Medir los proyectos Podcast y Videopodcast producidos en Telemedellín</t>
  </si>
  <si>
    <t>Engagement redes sociales</t>
  </si>
  <si>
    <t>Medir el engagement de las diferentes redes sociales</t>
  </si>
  <si>
    <t>Seguidores comunidad digital</t>
  </si>
  <si>
    <t>Medir los seguidores en nuestra comunidad digital</t>
  </si>
  <si>
    <t>Tiempo de permanencia en la web</t>
  </si>
  <si>
    <t>Medir el tiempo de permanencia en la página web  de Telemedellín</t>
  </si>
  <si>
    <t>Sesiones en la página web</t>
  </si>
  <si>
    <t>Medir las sesiones en la página web</t>
  </si>
  <si>
    <t xml:space="preserve">Plataformas de contenido </t>
  </si>
  <si>
    <t>Medir la cantidad de nuevas plataformas para podcast y contenido transmedia</t>
  </si>
  <si>
    <t>Ingresos por plataformas digitales</t>
  </si>
  <si>
    <t>Medir los ingresos económicos por plataformas digitales</t>
  </si>
  <si>
    <t xml:space="preserve">Evaluación de imagen de Telemedellín  </t>
  </si>
  <si>
    <t>Evaluar de percepción de favorabilidad de imagen de Telemedellín</t>
  </si>
  <si>
    <t>Embajadores de marca</t>
  </si>
  <si>
    <t xml:space="preserve">Evaluar la Participación de líderes de opinión en tácticas de relacionamiento. </t>
  </si>
  <si>
    <t>Visitantes Tour Telemedellín</t>
  </si>
  <si>
    <t>Medir el número de visitantes al Tour Telemedellín</t>
  </si>
  <si>
    <t>Experiencias temáticas en el parque Telemedellín</t>
  </si>
  <si>
    <t>Medir el numero de eventos propios realizados en el parque.</t>
  </si>
  <si>
    <t>Inversión en actualización tecnológica</t>
  </si>
  <si>
    <t>Medir la inversión económica en actualización tecnológica</t>
  </si>
  <si>
    <t>Proyectos 4RI</t>
  </si>
  <si>
    <t>Medir los proyectos que involucren los componentes de la cuarta revolución industrial.</t>
  </si>
  <si>
    <t>Horas en el satélite</t>
  </si>
  <si>
    <t>Emitir horas en el satélite</t>
  </si>
  <si>
    <t>Proyectos ejecutados de transformación digital</t>
  </si>
  <si>
    <t>Medir los proyectos ejecutados de transformación digital</t>
  </si>
  <si>
    <t>Talleres realizados TM Academy</t>
  </si>
  <si>
    <t>Medir los talleres realizados.</t>
  </si>
  <si>
    <t>Medir los asistentes actividades TM Academy.</t>
  </si>
  <si>
    <t>Contenidos producidos de TM Academy</t>
  </si>
  <si>
    <t xml:space="preserve">Medir los contenidos audiovisuales TM Academy. </t>
  </si>
  <si>
    <t>Sostenibilidad y Compromiso Social TM</t>
  </si>
  <si>
    <t>Medir las actividades de sostenibilidad y compromiso social</t>
  </si>
  <si>
    <t>Satisfacción colaboradores de Telemedellín</t>
  </si>
  <si>
    <t>Medir la satisfacción colaboradores de Telemedellín</t>
  </si>
  <si>
    <t>Personas impactadas en ruta de la felicidad</t>
  </si>
  <si>
    <t>Medir las personas impactadas con las actividades realizadas</t>
  </si>
  <si>
    <t>Practicantes</t>
  </si>
  <si>
    <t>Medir la contratación practicantes</t>
  </si>
  <si>
    <t>Utilidad antes de impuesto</t>
  </si>
  <si>
    <t>Evaluar la utilidad antes de impuesto</t>
  </si>
  <si>
    <t>Margen utilidad bruta</t>
  </si>
  <si>
    <t>Evaluar el margen utilidad bruta</t>
  </si>
  <si>
    <t>Gastos de funcionamiento</t>
  </si>
  <si>
    <t>Evaluar la ejecución de gastos de funcionamiento</t>
  </si>
  <si>
    <t>Ejecución de ingresos</t>
  </si>
  <si>
    <t>Medir la ejecución de ingresos</t>
  </si>
  <si>
    <t>Ejecución de egresos</t>
  </si>
  <si>
    <t>Medir la ejecución de egresos</t>
  </si>
  <si>
    <t>Ejecución de la inversión</t>
  </si>
  <si>
    <t>Medir la ejecución de la inversión</t>
  </si>
  <si>
    <t>Ingresos por contratos</t>
  </si>
  <si>
    <t>Medir los ingresos por contratos efectivos de cada vigencia</t>
  </si>
  <si>
    <t>Clientes satisfechos</t>
  </si>
  <si>
    <t xml:space="preserve">Nuevos productos y experiencias  </t>
  </si>
  <si>
    <t xml:space="preserve">Desarrollar nuevos productos y experiencias  </t>
  </si>
  <si>
    <t>Indice de satisfacción Cliente interno</t>
  </si>
  <si>
    <t>Medir la satisfacción clientes internos</t>
  </si>
  <si>
    <t>Mapa de riesgos</t>
  </si>
  <si>
    <t>Revisar y/o actualizar los mapas de riesgos del área</t>
  </si>
  <si>
    <t>Actividades FURAG - MIPG</t>
  </si>
  <si>
    <t>Evaluar la ejecución actividades planeadas en Furag y MIPG</t>
  </si>
  <si>
    <t>Auditorías control interno</t>
  </si>
  <si>
    <t>Medir la elaboración y entrega de informes de auditorías, por el sistema de Control Interno a Telemedellín.</t>
  </si>
  <si>
    <t>Cumplimiento en el desarrollo del plan de trabajo de la OCI</t>
  </si>
  <si>
    <t>Realizar todas las actividades programadas en el plan para el año</t>
  </si>
  <si>
    <t>Revisar y/o actualizar los mapas de riesgos de Telemedellín</t>
  </si>
  <si>
    <t>Plan Anticorrupción</t>
  </si>
  <si>
    <t>Realizar seguimiento al plan de anticorrupción de Telemedellín</t>
  </si>
  <si>
    <t>Cumplimiento PINAR</t>
  </si>
  <si>
    <t>Medir el cumplimiento del PINAR</t>
  </si>
  <si>
    <t>Flujo de tesorería mensualizado</t>
  </si>
  <si>
    <t>Generar los flujos de tesorería mensualizado</t>
  </si>
  <si>
    <t>Informe de costos</t>
  </si>
  <si>
    <t>Generar informe mensual de costos</t>
  </si>
  <si>
    <t>Plan de mantenimientos Sede</t>
  </si>
  <si>
    <t>Informes de difusión de políticas del plan de desarrollo distrital en Telemedellín</t>
  </si>
  <si>
    <t>Difundir las políticas del plan de desarrollo distrital</t>
  </si>
  <si>
    <t>Manuales de estilo</t>
  </si>
  <si>
    <t>Construir los manuales de estilo para programas producidos por Telemedellín</t>
  </si>
  <si>
    <t>Difusión de políticas institucionales</t>
  </si>
  <si>
    <t>Gestión Free press Telemedellín</t>
  </si>
  <si>
    <t>Gestionar FreePress comunicacional de Telemedellín</t>
  </si>
  <si>
    <t>Rendición pública de cuentas</t>
  </si>
  <si>
    <t>Gobierno digital</t>
  </si>
  <si>
    <t>Medir  el alcance de resultados de Gobierno Digital en Furag</t>
  </si>
  <si>
    <t>Mantenimiento a equipos</t>
  </si>
  <si>
    <t>Medir la eficiencia en la gestión de los mantenimientos preventivos y correctivos solicitados</t>
  </si>
  <si>
    <t>Capacitación en habilidades blandas</t>
  </si>
  <si>
    <t>Cumplimiento del Plan de Bienestar Laboral</t>
  </si>
  <si>
    <t>Medir las actividades de bienestar laboral.</t>
  </si>
  <si>
    <t>Cumplimiento del plan de capacitación</t>
  </si>
  <si>
    <t>Medir las actividades del Plan de formación y capacitación</t>
  </si>
  <si>
    <t>Cumplimiento del plan de seguridad y salud en el trabajo</t>
  </si>
  <si>
    <t>Realizar seguimiento al Sistema de Gestión de Seguridad y salud en el trabajo.</t>
  </si>
  <si>
    <t>Inducción y reinducción</t>
  </si>
  <si>
    <t>Realizar ejercicios de inducción o reinduccióna los colaboradores del canal</t>
  </si>
  <si>
    <t>Medir el % personas con procesos de inducción</t>
  </si>
  <si>
    <t>Tiquetera emocional</t>
  </si>
  <si>
    <t>Avance implementación MIPG</t>
  </si>
  <si>
    <t>Evaluar la implementación y seguimiento del MIPG</t>
  </si>
  <si>
    <t xml:space="preserve">Evaluación FURAG </t>
  </si>
  <si>
    <t>Obtener una alta calificación en el Formulario Único (FURAG)</t>
  </si>
  <si>
    <t>Generar el documento Informe de gestión Telemedellín</t>
  </si>
  <si>
    <t>Defensa juidicial</t>
  </si>
  <si>
    <t xml:space="preserve">Intervenir en el 100% de procesos judiciales y extrajudiciales en los que intervenga el canal </t>
  </si>
  <si>
    <t>PQRSD</t>
  </si>
  <si>
    <t>Medir las PQRSD respondidas en terminos de ley</t>
  </si>
  <si>
    <t>Generar y publicar informes de PQRSD</t>
  </si>
  <si>
    <t>Ranking en la encuesta “Cómo se informan los líderes”</t>
  </si>
  <si>
    <t>Promedio de las 20 emisiones más vistas del Sistema Informativo en Antioquia.</t>
  </si>
  <si>
    <t>Sumatoria horas estreno franja informativa</t>
  </si>
  <si>
    <t>Promedio de las 20 emisiones más vistas de la franja en Antioquia</t>
  </si>
  <si>
    <t>Sumatoria de horas que componen los programas de la franja</t>
  </si>
  <si>
    <t>Sumatoria de horas en parrilla de los programas que componen la franja</t>
  </si>
  <si>
    <t>Cantidad de contenidos compartidos</t>
  </si>
  <si>
    <t>Sumatoria de galardones en eventos locales, nacionales e internacionales</t>
  </si>
  <si>
    <t>Sumatoria de horas emitidas en la franja semanal</t>
  </si>
  <si>
    <t>∑(seguidores de red n x engagement de red n) / ∑seguidores de las redes</t>
  </si>
  <si>
    <t>Sumatoria de todos los seguidores y suscriptores de las redes sociales</t>
  </si>
  <si>
    <t>Promedio de tiempo de permanencia en la página</t>
  </si>
  <si>
    <t>Sumatoria de todos los visitantes en los canales de tráfico al portal</t>
  </si>
  <si>
    <t>Cantidad de nuevas plataformas para podcast y contenido transmedia</t>
  </si>
  <si>
    <t>Sumatoria de la monetización de todas las redes y plataformas del Canal (En dolares USD)</t>
  </si>
  <si>
    <t>Evaluación de percepción de favorabilidad de imagen de Telemedellín</t>
  </si>
  <si>
    <t>Sumatoria de participantes en la estrategia embajadores de marca</t>
  </si>
  <si>
    <t>Sumatoria de visitantes anuales al Tour Telemedellín.</t>
  </si>
  <si>
    <t>Sumatoria de eventos propios realizados en el Parque</t>
  </si>
  <si>
    <t>Sumatoria inversión económica en actualización tecnológica</t>
  </si>
  <si>
    <t>Proyectos que involucren los componentes de la cuarta revolución industrial</t>
  </si>
  <si>
    <t>Sumatoria de horas al aíre en el satélite</t>
  </si>
  <si>
    <t>Sumatoria de talleres realizados</t>
  </si>
  <si>
    <t>Sumatoria de personas asistentes a las actividades</t>
  </si>
  <si>
    <t>Sumatoria de contenidos audiovisuales realizados</t>
  </si>
  <si>
    <t>Sumatoria de actividades de sostenibilidad y compromiso social</t>
  </si>
  <si>
    <t>% de satisfacción global</t>
  </si>
  <si>
    <t>Resultado de la utilidad antes de impuesto</t>
  </si>
  <si>
    <t>(Utilidad operacional / Ingresos netos) x 100%</t>
  </si>
  <si>
    <t>(Gastos/ Ingresos netos) x 100%</t>
  </si>
  <si>
    <t>(Ingresos ejecutados / Ingresos presupuestados) x 100%</t>
  </si>
  <si>
    <t>(Egresos ejecutados / egresos presupuestados) x 100%</t>
  </si>
  <si>
    <t>(Egresos ejecutados de inversión / egresos presupuestados de inversión) x 100%</t>
  </si>
  <si>
    <t>(Clientes satisfechos / Clientes encuestados) x 100%</t>
  </si>
  <si>
    <t>Sumatoria de nuevos servicios y experiencias desarrollados y operando</t>
  </si>
  <si>
    <t>(Ingresos/(costos más gastos) -1) * 100%</t>
  </si>
  <si>
    <t>% de satisfacción por dependencia</t>
  </si>
  <si>
    <t>Mapas de riesgos revisado y/o actualizados</t>
  </si>
  <si>
    <t xml:space="preserve"># Actividades realizadas/# Actividades planeadas </t>
  </si>
  <si>
    <t># de auditorías realizadas / # auditorias programadas</t>
  </si>
  <si>
    <t>Actividades Terminadas / Actividades Programadas</t>
  </si>
  <si>
    <t># de mapas de riesgos revisados/ # de mapas de riesgos existentes</t>
  </si>
  <si>
    <t># Flujos de tesorería / 12 meses</t>
  </si>
  <si>
    <t>Presentar 12 informes en el año</t>
  </si>
  <si>
    <t># Informes de difusión de políticas.</t>
  </si>
  <si>
    <t>Cantidad de informes de gestión expuestos a la ciudadanía</t>
  </si>
  <si>
    <t>% obtenido en calificación Furag en gobierno digital</t>
  </si>
  <si>
    <t>Casos cerrados/casos solicitados</t>
  </si>
  <si>
    <t># de capacitaciones ejecutadas / # de capacitaciones programadas</t>
  </si>
  <si>
    <t># de actividades del plan de seguridad y salud en el trabajo ejecutadas / # de actividades del plan de seguridad y salud en el trabajo programadas</t>
  </si>
  <si>
    <t># Ejercicios de inducción o reinducción</t>
  </si>
  <si>
    <t># personas con inducción / # personas nuevos ingresos al canal.</t>
  </si>
  <si>
    <t>Implementaciones ejecutadas / Implementaciones proyectadas X 100%</t>
  </si>
  <si>
    <t>Calificación institucional en el FURAG</t>
  </si>
  <si>
    <t xml:space="preserve">Procesos judiciales y extrajudiciales efectivamente atendidos / actuaciones judiciales y extrajudiciales notificados </t>
  </si>
  <si>
    <t># de PQRS respondidas a tiempo 
 / # PQRS recibidas</t>
  </si>
  <si>
    <t>Numero de informes PQRSD publicados</t>
  </si>
  <si>
    <t>&gt;0</t>
  </si>
  <si>
    <t>&gt;90%</t>
  </si>
  <si>
    <t>Ayuda del  Cálculo</t>
  </si>
  <si>
    <t>Valor alcanzado en cada trimestre. Si no se evaluó, es cero "0"</t>
  </si>
  <si>
    <t>Valor ACUMULADO en el trimestre de evaluación.</t>
  </si>
  <si>
    <t>Mínimo</t>
  </si>
  <si>
    <t>Máximo</t>
  </si>
  <si>
    <t>Acumulado</t>
  </si>
  <si>
    <t>Suma</t>
  </si>
  <si>
    <t>Final año</t>
  </si>
  <si>
    <t>Promedio</t>
  </si>
  <si>
    <t>Categoría Interna</t>
  </si>
  <si>
    <t>PEI</t>
  </si>
  <si>
    <t>Eficacia</t>
  </si>
  <si>
    <t>Eficiencia</t>
  </si>
  <si>
    <t>Efectividad</t>
  </si>
  <si>
    <t>Etiquetas de fila</t>
  </si>
  <si>
    <t>Total general</t>
  </si>
  <si>
    <t>ADMINISTRAR Y OPTIMIZAR EFICIENTEMENTE LOS RECURSOS FINANCIEROS</t>
  </si>
  <si>
    <t>AUMENTAR EL NIVEL DE DESEMPEÑO INDIVIDUAL Y COLECTIVO</t>
  </si>
  <si>
    <t>ELEVAR EL NIVEL DE COMPETITIVIDAD Y POSICIONAMIENTO DEL CANAL</t>
  </si>
  <si>
    <t>ELEVAR LA CAPACIDAD DE INNOVACIÓN, CALIDAD TÉCNICA Y AUDIOVISUAL</t>
  </si>
  <si>
    <t>INCREMENTAR EL NIVEL DE EFICIENCIA Y EFICACIA ADMINISTRATIVA Y OPERATIVA</t>
  </si>
  <si>
    <t>REALIZAR ALIANZAS ESTRATÉGICAS CON LA ALCADÍA Y SUS ENTES DESCENTRALIZADOS</t>
  </si>
  <si>
    <t>Suma de PONDERACIÓN</t>
  </si>
  <si>
    <t>Sumatoria de contenidos producidos</t>
  </si>
  <si>
    <t>RESPONSABLE: Gerencia Telemedellín</t>
  </si>
  <si>
    <t>PROCESO: Direccionamiento estratégico.</t>
  </si>
  <si>
    <t>METAS</t>
  </si>
  <si>
    <t>OBJETIVOS ESTRATEGICOS TELEMEDELLÍN</t>
  </si>
  <si>
    <t>LINEAS DEL PLAN ESTRATÉGICO DE TELEMEDELLÍN (PEI)</t>
  </si>
  <si>
    <t>Total alcanzado ponderado</t>
  </si>
  <si>
    <t>Meta alcalzada</t>
  </si>
  <si>
    <t>Por alcanzar</t>
  </si>
  <si>
    <t>Suma de Total alcanzado ponderado</t>
  </si>
  <si>
    <t>Valor máximo alcanzado en los trimestres de evaluación.</t>
  </si>
  <si>
    <t>Asistentes Talleres TM Academy</t>
  </si>
  <si>
    <t>&lt;25%</t>
  </si>
  <si>
    <t>Valoración del Freepress</t>
  </si>
  <si>
    <t># Seguimientos al PTEP</t>
  </si>
  <si>
    <t>Realizar seguimiento al Programa de Transparencia y Ética Pública (PTEP) de Telemedellín</t>
  </si>
  <si>
    <t>Ejecutar plan de mantenimiento Anualizado</t>
  </si>
  <si>
    <t xml:space="preserve">Medir la satisfacción de clientes de negocios y experiencias
</t>
  </si>
  <si>
    <t>Plan de acción</t>
  </si>
  <si>
    <t>Plan de Acción</t>
  </si>
  <si>
    <t>CENTRAL DE MEDIOS</t>
  </si>
  <si>
    <t>CONTRATOS</t>
  </si>
  <si>
    <t>ANÁLISIS UTILIDAD AGENCIA TM</t>
  </si>
  <si>
    <t>INCENTIVOS PUBLICITARIOS</t>
  </si>
  <si>
    <t>META</t>
  </si>
  <si>
    <t>COMPONENTE</t>
  </si>
  <si>
    <t>PROYECCIÓN</t>
  </si>
  <si>
    <t>PROYECTOS COMERCIALES</t>
  </si>
  <si>
    <t>PROYECCIÓN UTILIDAD</t>
  </si>
  <si>
    <t>MARGEN</t>
  </si>
  <si>
    <t>ALQUILER ESPACIOS (EXP)</t>
  </si>
  <si>
    <t>NEGOCIOS AUDIOVISUALES</t>
  </si>
  <si>
    <t>SERVICIOS AUDIOVISUALES</t>
  </si>
  <si>
    <t>PAUTA EN TM</t>
  </si>
  <si>
    <t>ESTE MARGEN SE VERÍA AFECTADO POR COSTOS PROPIOS DEL CANAL</t>
  </si>
  <si>
    <t>INGRESO</t>
  </si>
  <si>
    <t xml:space="preserve">COSTO Y GASTOS </t>
  </si>
  <si>
    <t>PRIMER TRIMESTRE</t>
  </si>
  <si>
    <t>SEGUNDO TRIMESTRE</t>
  </si>
  <si>
    <t>TERCER TRIMESTRE</t>
  </si>
  <si>
    <t>CUARTO TRIMESTRE</t>
  </si>
  <si>
    <t>CONTRATOS ADMON DELEGADA</t>
  </si>
  <si>
    <t>CÁLCULO DE MARGEN DE UTILIDAD AGENCIA TM</t>
  </si>
  <si>
    <t>INGRESOS FACTURADOS</t>
  </si>
  <si>
    <t>Ingresos por línea de incentivos publicitarios</t>
  </si>
  <si>
    <t>Medir los ingresos efectivos por la línea de agencia - Contratos administración Delegada</t>
  </si>
  <si>
    <t>Medir los ingresos efectivos por la línea de incentivos publicitarios</t>
  </si>
  <si>
    <t>Medir los ingresos efectivos por la línea de alquiler de espacios</t>
  </si>
  <si>
    <t>Ingresos por línea de servicios audiovisuales</t>
  </si>
  <si>
    <t>Medir los ingresos efectivos por la línea de servicios audiovisuales</t>
  </si>
  <si>
    <t>Medir los ingresos efectivos por la línea de pauta emitida a clientes</t>
  </si>
  <si>
    <t>Sumatoria de los ingresos  por contratos efectivos  línea de agencia cada vigencia (Facturados)</t>
  </si>
  <si>
    <t>Sumatoria de los ingresos por línea incentivos publicitarios cada vigencia (Facturados)</t>
  </si>
  <si>
    <t>Sumatoria de los ingresos por línea de servicios audiovisuales  (Facturados)</t>
  </si>
  <si>
    <t>Ingresos por línea de pauta comercial emitida a clientes</t>
  </si>
  <si>
    <t>Sumatoria de los ingresos por línea de pauta comercial  (Facturados)</t>
  </si>
  <si>
    <t xml:space="preserve">Evaluar la utilidad neta de negocios y experiencias TM
</t>
  </si>
  <si>
    <t>Sumatoria de los ingresos por contratos cada vigencia (Firmados)</t>
  </si>
  <si>
    <t>Ingresos por línea alquiler de espacios y experiencias propias</t>
  </si>
  <si>
    <t>Ingresos por línea de Agencia -Central de Medios (Administración delegada)</t>
  </si>
  <si>
    <t>Sumatoria de los ingresos por línea de alquiler de espacios y experiencias propias (Facturados)</t>
  </si>
  <si>
    <t>Utilidad general Agencia y central de medios</t>
  </si>
  <si>
    <t>AÑO:  2026</t>
  </si>
  <si>
    <t>RESULTADO 2026</t>
  </si>
  <si>
    <t>Actividades del plan anticorrupción ejecutadas / Actividades proyectadas x 100%</t>
  </si>
  <si>
    <t>Implementar y promover el uso de la tiquetera emocional para los colaboradores</t>
  </si>
  <si>
    <t xml:space="preserve"> Uso de la tiquetera emocional mayor o igual a 200 en el año</t>
  </si>
  <si>
    <t>&gt;28%</t>
  </si>
  <si>
    <t>&gt;98%</t>
  </si>
  <si>
    <t>Usuarios de eventos satisfechos</t>
  </si>
  <si>
    <t xml:space="preserve">Medir la satisfacción de los usuarios asistentes a los eventos de Telemedellín
</t>
  </si>
  <si>
    <t>(Usuarios satisfechos / Usuarios encuestados) x 100%</t>
  </si>
  <si>
    <t>Medir la ejecución de campañas internas de comunicación institucional.</t>
  </si>
  <si>
    <t>Cantidad de campañas difundidas</t>
  </si>
  <si>
    <t>Canjes y Alianzas</t>
  </si>
  <si>
    <t>Medir la gestión de canjes y alianzas ejecutadas</t>
  </si>
  <si>
    <t>Sumatoria de Canjes y/o alianzas ejecutadas</t>
  </si>
  <si>
    <t>(# de practicantes contratados/sobre # de vacante para practicantes) x 100%</t>
  </si>
  <si>
    <t># de seguimientos a planes de mejoramiento vigentes</t>
  </si>
  <si>
    <t>(# de mantenimientos ejecutados / # mantenimientos programados)*100%</t>
  </si>
  <si>
    <t>(# manuales de estilo / # programas producidos en la vigencia)*100%</t>
  </si>
  <si>
    <t>&gt;=200</t>
  </si>
  <si>
    <t>Suministro servicios de producción</t>
  </si>
  <si>
    <t>Medir la eficacia en el suministro de los servicios de producción</t>
  </si>
  <si>
    <t>(# de solicitudes atendidas / Total de solicitudes válidas recibidas) x 100%</t>
  </si>
  <si>
    <t xml:space="preserve">Asegurar el cumplimiento de la obligación de publicación contratual en SECOP </t>
  </si>
  <si>
    <t>(# de contratos cargados al SECOP / # Contratos solicitados) x 100%</t>
  </si>
  <si>
    <t>Cumplimiento en la publicación contractual SECOP</t>
  </si>
  <si>
    <t xml:space="preserve">Seguimientos a planes de mejoramiento </t>
  </si>
  <si>
    <t>Revisar los informes de seguimientos a planes de mejoramiento</t>
  </si>
  <si>
    <t>(Sumatoria de colaboradores que participaron en actividades de bienestar/# de colaboradores totales) x 100 %</t>
  </si>
  <si>
    <t>La publicación de la encuesta se realiza a finales de año 2026</t>
  </si>
  <si>
    <t>La publicación de la encuesta se realiza a finales de año 2026.</t>
  </si>
  <si>
    <t>El promedio de rating para la fanja en este primer trimestre cumplió nuestras expectativas, continuaremos así para cumplir con la meta propuesta.</t>
  </si>
  <si>
    <t>El valor de horas alcanzado en este trimestre cumple con lo propuesto para alcanzar la meta.</t>
  </si>
  <si>
    <t>Los programas que componen la franja iniciaron a mediados de febrero. Aunque el promedio fue positivo, esperamos que en los próximos trimestre aumente para cumplir con la meta propuesta.</t>
  </si>
  <si>
    <t>Las horas de la franja están por debajo de la meta propuesta ya que los programas iniciaron a mediados de febrero, esperamos un aumento significativo en los próximos trimestres.</t>
  </si>
  <si>
    <t xml:space="preserve">Al no haber iniciado en el primer mes de este primer trimestre la emisión de la mayoría de los programas de la franja de Comunicación Pública, aún no se alcanza el número estimado, pero en los siguientes trimestres se compensarán para alcanzar la meta estimada. </t>
  </si>
  <si>
    <t>Se tiene prevista la cooperación de contenidos con TAL para el segundo trimestre.</t>
  </si>
  <si>
    <t>En este primer trimestre no se registró la premiación de ninguno de los concursos y festivales a los cuales tradicionalmente nos postulamos.</t>
  </si>
  <si>
    <t>Vamos cumpliendo con la meta en el primer trimestre del año, tanto en la producción de proyectos propios, como en la franja de Laboratorio Podcast.</t>
  </si>
  <si>
    <t>Se ha realizado la producción de 6 proyectos Podcast, entre ellos : Medellín te cuenta
Medellín Confía
Medellín Emprende
Alto Rendimiento
Fui Baby</t>
  </si>
  <si>
    <t>En el primer trimestre no se han elaborado talleres Academy, se tiene proyectado comenzar con estos talleres en el segundo trimestre del año.</t>
  </si>
  <si>
    <t>La medición de satisfacción de los clientes internos se realizará en el segundo semestre del año.</t>
  </si>
  <si>
    <t>La actualización del mapa de riesgos se realizará en el segundo trimestre con el acompañamiento de Planeación.</t>
  </si>
  <si>
    <t>El Engagement Rate del 3,96% se debe a que el volumen masivo de alcance de YouTube (que supera los 160 millones de vistas con interacciones mínimas) diluye el altísimo rendimiento de Instagram, promediando una cifra que refleja una gran visibilidad de marca pero con una participación de audiencia moderada a nivel global</t>
  </si>
  <si>
    <t>Hemos crecido porque tenemos una estrategia de visibilidad (Alcance/Reproducciones) muy potente que está logrando convertir espectadores casuales en seguidores fijos, principalmente en Facebook y Tik Tok.</t>
  </si>
  <si>
    <t xml:space="preserve">Pese a reforzar la producción de contenido en el portal  con el equipo digital de programación el tiempo de retención no fue el esperado. Se proyecta tener contenidos con más información que permita tener más tiempo al lector en el sitio y otras acciones a revisar. </t>
  </si>
  <si>
    <t>En enero se cumplió y pasó la meta mensual, sin embargo en febrero y marzo diferentes situaciones inesperadas marcaron bajas temporales importantes en el equipo que afectaron directamente el tráfico.</t>
  </si>
  <si>
    <t>Abrimos LinkedIn oficial de Telemedellín después de hacer una planeación importante de cara a la incursión de la marca en un entorno digital enfocado a un público empresarial y más ejecutivo. Acción enmarcada en el proyecto de embajadores, alienado con Dirección de Comunicaciones.</t>
  </si>
  <si>
    <t xml:space="preserve">Estuvimos 704 dólares por debajo de la meta trimestral pese a que se reanudó la monetización de Facebook. Sin embargo  AdSense y Teads dependen del tiempo de permanencia en la página. Si el usuario solo se queda 30 segundos, es probable que solo vea 1 o 2 anuncios por lo cuál baja la monetización. </t>
  </si>
  <si>
    <t>En el primer trimestre del año se registraron 700 ingresos al tour. Este comportamiento estuvo influenciado por la temporada académica, ya que durante el primer mes los estudiantes se encontraban en vacaciones, lo que redujo el flujo habitual de visitas. Si bien no es un factor determinante, sí incidió en la dinámica de asistencia durante este periodo.
Evidencias: https://drive.google.com/drive/folders/1DwXh7tmfqNvtLdj1E2lks27Vr4R5oW-E?usp=drive_link</t>
  </si>
  <si>
    <r>
      <t xml:space="preserve">Para el indicador “Medir el número de eventos propios realizados en el parque”, durante el primer trimestre se llevaron a cabo tres (3) eventos. Estos corresponden a la participación en la Ciclovía de la Av. El Poblado y a dos jornadas de </t>
    </r>
    <r>
      <rPr>
        <i/>
        <sz val="11"/>
        <color theme="1"/>
        <rFont val="Calibri"/>
        <family val="2"/>
        <scheme val="minor"/>
      </rPr>
      <t>Telemedellín en mi barrio</t>
    </r>
    <r>
      <rPr>
        <sz val="11"/>
        <color theme="1"/>
        <rFont val="Calibri"/>
        <family val="2"/>
        <scheme val="minor"/>
      </rPr>
      <t>, realizadas en San Sebastián de Palmitas y Boston, evidenciando la presencia del canal en el territorio y su articulación con la comunidad.
Evidencias: https://drive.google.com/drive/folders/1DwXh7tmfqNvtLdj1E2lks27Vr4R5oW-E?usp=drive_link</t>
    </r>
  </si>
  <si>
    <t>La evaluación de la percepción de favorabilidad de la imagen de Telemedellín se obtiene a partir de los resultados de la encuesta “Medellín Cómo Vamos”, la cual se realiza entre el tercer y cuarto trimestre del año. Este insumo permite contar con una medición externa y objetiva sobre la percepción ciudadana frente al canal.</t>
  </si>
  <si>
    <t xml:space="preserve">Durante el primer semestre se está desarrollando la estrategia de Embajadores de Marca, con el objetivo de consolidar su implementación en los próximos meses y potenciar su impacto en el posicionamiento y la conexión con las audiencias.
</t>
  </si>
  <si>
    <t>Se presento el informe trimestral del número de horas de productos audiovisuales referentes a campañas institucionales del plan de desarrollo distrital que se difunden a través de la pantalla de Telemedellín. Este informe reposa en las evidencias del respectivo trimestre.</t>
  </si>
  <si>
    <t>La revisión y/o actualización de las actividades de MIPG y FURAG del área no se realizó durante el primer trimestre. Esta actividad se tiene programada para el segundo trimestre del año, con el fin de garantizar su alineación con la planeación y las dinámicas operativas de la entidad.</t>
  </si>
  <si>
    <t>Para el indicador de medición de la satisfacción de los usuarios asistentes a los eventos de Telemedellín, se tiene definido realizar dos encuestas anuales. Estas se aplicarán en los meses de junio y noviembre del año en curso, con el fin de recoger información clave que permita evaluar la percepción de los asistentes y fortalecer continuamente la calidad de los eventos realizados por el canal.</t>
  </si>
  <si>
    <t>Durante el primer semestre del año se desarrollaron e implementaron las políticas internas relacionadas con el Cuarto de Seguro, así como las estrategias de planeación asociadas, entre ellas la Mesa de Ayuda y la gestión de los servidores Alpha. Estas acciones hacen parte del fortalecimiento de los lineamientos internos del canal, orientados a garantizar la continuidad operativa, la eficiencia en los procesos y el adecuado soporte tecnológico a las diferentes áreas.</t>
  </si>
  <si>
    <t>Para el indicador “Gestionar Free Press comunicacional de Telemedellín”, durante el primer trimestre del año se han realizado visitas a más de ocho medios de comunicación, logrando publicaciones en diferentes plataformas. Estas acciones han permitido visibilizar y promocionar los contenidos, estrategias y actividades del canal, fortaleciendo su posicionamiento y alcance ante diversas audiencias.
Evidencias: https://drive.google.com/drive/folders/1DwXh7tmfqNvtLdj1E2lks27Vr4R5oW-E?usp=drive_link</t>
  </si>
  <si>
    <t>La medición de la satisfacción de clientes internos no se realiza durante el primer semestre, ya que este indicador está programado para evaluarse entre el tercer y cuarto trimestre del año, con el fin de obtener resultados más completos y representativos de la gestión anual.
Evidencias: https://drive.google.com/drive/folders/1DwXh7tmfqNvtLdj1E2lks27Vr4R5oW-E?usp=drive_link</t>
  </si>
  <si>
    <t>La revisión y/o actualización de los mapas de riesgos del área no se realizó durante el primer trimestre. Esta actividad se tiene programada para el segundo trimestre del año, con el fin de garantizar su alineación con la planeación y las dinámicas operativas de la entidad.
Evidencias: https://drive.google.com/drive/folders/1DwXh7tmfqNvtLdj1E2lks27Vr4R5oW-E?usp=drive_link</t>
  </si>
  <si>
    <t>Durante el primer trimestre del año, y en cumplimiento del indicador “Medir la gestión de canjes y alianzas ejecutadas”, se logró la consolidación de 28 alianzas estratégicas. Estas acciones reflejan una gestión activa en la articulación con diferentes marcas y aliados, permitiendo fortalecer la oferta institucional, optimizar recursos mediante canjes y generar valor conjunto para el desarrollo de las actividades de la entidad.
Evidencias: https://drive.google.com/drive/folders/1DwXh7tmfqNvtLdj1E2lks27Vr4R5oW-E?usp=drive_link</t>
  </si>
  <si>
    <t>Durante el primer semestre del año no se llevó a cabo esta actividad, debido a que la rendición de cuentas ante la comunidad y el público en general se realiza de manera anual. Este ejercicio se programa para el cierre del año, con el fin de consolidar y presentar de forma integral los resultados, acciones y gestión desarrollados a lo largo de toda la vigencia.
Evidencias: https://drive.google.com/drive/folders/1DwXh7tmfqNvtLdj1E2lks27Vr4R5oW-E?usp=drive_link</t>
  </si>
  <si>
    <t>Se han venido ejecutando los proyectos de acuerod al plan de inversiones del 2026</t>
  </si>
  <si>
    <t>Se vienen adelantando 2 proyectos de Inteleigencia artificial</t>
  </si>
  <si>
    <t>La señal de satelite no presnto novedades en el periodo</t>
  </si>
  <si>
    <t>Se vienen adelantando varios proyectos de transformación digital</t>
  </si>
  <si>
    <t>Aun no ha llegado le evaluación del Furag del año 2024</t>
  </si>
  <si>
    <t>No se ha realizado evaluación de la satisfacción de los clientes</t>
  </si>
  <si>
    <t>Se vienen atendiendo los requerimintos con normalidad: los casos no cerrados se deben a que estan pendientes de repuestos, diagnostico o se encunetran en un centro de servicio</t>
  </si>
  <si>
    <t>Ya se realizó la revisión y actualización del mapa de riesgos del área.</t>
  </si>
  <si>
    <t>Se han venido actualizando la dcocumentación de  acuerdo con el Plan de Seguridad y Privaviad de la Información.</t>
  </si>
  <si>
    <t xml:space="preserve">Durante el primer semestre se realizó con la Dirección de Relaciones Corporativas la entrega de 600 kits escolares en la Institución Educativa La Sierra. Esto bajo la campaña ‘Cumplamos un Sueño con el Tour Telemedellín’ en la que también participaron entidades del sector privado. Para el segundo trimestre se está contemplando más estrategias para implementar desde el canal. </t>
  </si>
  <si>
    <t>La activdidad se realizará en el último Trimestre</t>
  </si>
  <si>
    <t>Durante el primer trimestres se han realizado 2 actividades cuya participación fue 100%  (día de la mijer y hombre, día de las profesiones), adicionalmente diferentes actividades han contado con pequeños grupos de la población: 
Charla estilo de vida saludable(7pnas), 
Charla hablilidades blandas (7pnas)
Charla hábitos saludables(16 pnas)
Pausas Activas (16 pnas)</t>
  </si>
  <si>
    <t>Para el primer trimestre del año 2026 se recibieron catorce (14) solicitudes de contratación de practicantes, las cuales fueron atendidas en su totalidad, logrando la vinculación de los catorce (14) practicantes requeridos. Se sobrepaso la meta de 10 practicantes al año
De estos, siete (7) pertenecen al área de Contenidos, uno (1) al área de Gestión Humana, cinco (5) al área de Producción y uno (1) a la Agencia TM.
Se cuenta con la evidencia correspondiente en la matriz de contratación de practicantes 2026 en formato Excel, en la cual se puede verificar el número de contrato de cada práctica, así como la información general asociada a cada vinculación.
En consecuencia, se alcanzó un cumplimiento del 100% frente a las solicitudes recibidas.</t>
  </si>
  <si>
    <t>Ya  se han adelantado algunas actividades y con el área de Planeación vamos a articularlo con el Plan General desde el segundo trimestre.</t>
  </si>
  <si>
    <t xml:space="preserve">El día 12 de marzo se llevó a cabo una actividad vivencial de trabajo en equipo, como habilidad blanda, dirigido a las áreas de Digital y Casa Creativa, con una participación de siete (7) personas.
De 17 áreas identiicadas se impactaron 2 de ellas. 
Se cuenta con las listas de asistencia correspondiente como evidencia de la participación en cada formación, ademas del registro fotografico </t>
  </si>
  <si>
    <t>Se han ejecutado 33 actividades en el primer trimestre de las 221 programadas durante el año para un porcentaje de 15%</t>
  </si>
  <si>
    <t xml:space="preserve">Frente al plan de formación, para el primer trimestre se proyectaron 12 formaciones, de las cuales se ejecutaron en su totalidad las 12 programadas. Acá no se consideraron las inducciones a pesar de ser formaciones, ya que tienen una línea en el Plan de acción. Alguno  de los temas abordados fueron los siguientes:
1) Seguimos cuidándonos: capacitación virtual dirigida a contratistas (27-01-2026).
2) Capacitación en herramientas mecanizadas de mantenimiento (04-02-2026).
3) Protocolo Institucional de Cubrimiento Electoral 2026 (20-02-2026).
4) Capacitación y sensibilización sobre el uso y manejo del área protegida EMI (19-02-2026).
5) Capacitación en eventos, montajes y logística – control de cumplimiento en SST (04-03-2026).
6) Charla de alimentación consciente (11-03-2026).
7) Formación en habilidades blandas: trabajo en equipo (12-03-2026).
8) Tres (3) formaciones dirigidas a la brigada de emergencia.
Ademas de otras formaciones
</t>
  </si>
  <si>
    <t>Durante el periodo evaluado, se proyectaron 41 actividades en el Plan de Trabajo del Sistema de Gestión de Seguridad y Salud en el Trabajo (SG-SST), de las cuales se ejecutaron 40, alcanzando un cumplimiento del 26%.
Entre las actividades más destacadas se encuentran la asignación de recursos, así como la definición de roles y responsabilidades en los diferentes niveles de la organización. De igual manera, se resalta el funcionamiento de los grupos de apoyo en SST, la ejecución del plan de capacitación, el desarrollo de inducciones y la actualización de la política integrada de SST junto con sus respectivos objetivos.
Adicionalmente, se llevaron a cabo actividades de medicina preventiva, la documentación del sistema de gestión, la gestión de contratos en SST, el seguimiento a indicadores y otros aspectos relacionados con el cumplimiento legal.
Como soporte de lo anterior, se cuenta con el Plan de Trabajo de SST debidamente firmado en formato PDF, así como el archivo en Excel completamente diligenciado.</t>
  </si>
  <si>
    <t xml:space="preserve">Se tiene previsto realizar la reinducción institucional para junio </t>
  </si>
  <si>
    <t xml:space="preserve">Se realizaron siete (7) inducciones durante el primer trimestre del año, distribuidas de la siguiente manera: una (1) inducción al jefe de Control Interno el día 28 de enero y seis (6) inducciones a practicantes el día 13 de febrero, quedaron pendientes cuatro practicantes que ingresaron en marzo. </t>
  </si>
  <si>
    <t>Se tiene previsto realizar la actividad en el ultimo trimestre del año</t>
  </si>
  <si>
    <t>Se tiene programada la actualización para el segundo trimestre.</t>
  </si>
  <si>
    <t>Durante el primer trimestre han utilizados 52 benficios de la tiquetera emocional ( 36 días de la familia, 14 cumpleaños, 1 grado, 1 apoyo comité)</t>
  </si>
  <si>
    <t>Los manuales de estilo de los productos audiovisuales del periodo están en proceso de elaboración por parte de los realizadores.</t>
  </si>
  <si>
    <t>Al cierre del primer trimestre de 2026, Telemedellín presenta un déficit acumulado de -$3.472M, resultado coherente con la estacionalidad del primer trimestre, donde los costos de producción se ejecutan antes de completar el ciclo de facturación. Los ingresos crecieron gracias a nuevos contratos y mayores transferencias, mientras que los costos aumentaron por mayor actividad operativa, especialmente en publicidad y producción. Se espera que el déficit se revierta a medida que avance la facturación, con la meta evaluada al cierre del año.</t>
  </si>
  <si>
    <t>El margen de utilidad bruta se ubica en -74,9% al primer trimestre de 2026, resultado típico del primer trimestre donde los costos de producción superan los ingresos facturados. Los ingresos crecieron significativamente, al igual que los costos y los gastos, principalmente por los costos anticipados del contrato de publicidad y el aumento del personal de producción. Este patrón es similar a años anteriores y se espera una normalización hacia la meta anual conforme avance la facturación.</t>
  </si>
  <si>
    <t>Al cierre del primer trimestre, el indicador de gastos de funcionamiento se ubica por encima de la meta establecida, evidenciando un nivel de gastos significativamente superior en relación con los ingresos netos. Este resultado refleja una baja eficiencia en el periodo, influenciada por la dinámica del inicio de la vigencia, donde los ingresos aún no se han consolidado plenamente mientras los gastos mantienen su ejecución.
Se espera que, con la consolidación de los ingresos en los próximos trimestres, el indicador mejore progresivamente y se acerque al cumplimiento del objetivo al cierre de la vigencia.</t>
  </si>
  <si>
    <t>Ejecución baja en relación a los gastos, pero que corresponde con el comportamiento histórico de los ingresos, dado que la ejecución de los contratos de administración delegada y prestación de servicio comienzan en su mayoría en el segundo semestre del año. Si bien para el primer semestre se han firmado adiciones de contratos que pasaron de vigencia y se han firmado contratos nuevos por valor de $18.433 millones. Con corte a marzo hay cuentas por cobrar por $5.278 millones</t>
  </si>
  <si>
    <t>Se han comprometido recursos para contratos de cuantías altas tales como la empresa de servicios para la contratación de personal temporal,  adicional a que por ley de garantías se debió contratar al personal desde el mes de enero con el fin de garantizar el funcionamiento del Canal en el primer semenstre.</t>
  </si>
  <si>
    <t>Se han comprometido recursos para contratos de cuantías altas tales como la empresa de servicios para la contratación de personal temporal, transporte y alimentación,  adicional a que por ley de garantías se debió contratar al personal desde el mes de enero con el fin de garantizar el funcionamiento del Canal en el primer semenstre.</t>
  </si>
  <si>
    <t>Estas actividades se comenzarán a ejecutar en el segundo trimestre.</t>
  </si>
  <si>
    <t>Se han hecho la clasificación y ordenación de 361 documentos, digitalización de 529 documentos, realizado control de calidad a 196 documentos, realizado inventario a 21.25 metros lineales, registro de humedad y temperatura mensual.
Pendiente: procedimientos por área de las actividades del proceso de gestión documental, actualizar instrumentos de gestión de información pública requerida por la ley de transparencia, esquema de capacitación y seguimiento a matriz de riesgo</t>
  </si>
  <si>
    <t>Se han realizado los boletines mensuales</t>
  </si>
  <si>
    <t>Se realizarán en el segundo semestre</t>
  </si>
  <si>
    <t>Se han realizado los informes mensuales</t>
  </si>
  <si>
    <t>Se realizaron el total de los 9 mantenimientos que se tenían proyectados para el primer trimestre</t>
  </si>
  <si>
    <t>%</t>
  </si>
  <si>
    <t>Ingresos por contratos (Valor alcanzado: $18.506.753.270 | 49,4% de la meta)
Contratos firmados y en ejecución. 
Central Medios: $14.664.550.878. 
Negocios Audiovisuales: $3.768.449.437. 
Pauta: $73.752.955. 
A 31 de marzo de 2025 se tenía una cifra de contratos firmados y en ejecución por $12.403 millones de pesos; para 2026 se tiene un crecimiento del 51,7%. Teniendo en cuenta la Ley de Garantías, se avanzó según lo planeado de tener firmado alrededor del 50% de la meta general para la vigencia.</t>
  </si>
  <si>
    <t xml:space="preserve">Clientes satisfechos (Valor alcanzado: 88,3% | 107,7% de la meta)
Para el primer trimestre se registró un nivel de satisfacción de clientes de negocios y experiencias del 88,3%, superando la meta del 82%. Este resultado refleja una gestión comercial y de servicio al cliente sólida en el inicio de la vigencia.
El promedio global de satisfacción del trimestre fue de 4.42 sobre 5.00
El 66,7% de todas las calificaciones fueron 5 lo que refleja un alto nivel de conformidad con los servicios. 
Resultados por dimensión evaluada:
	•	Satisfacción general con los servicios: 4.42 / 5 — 88%
	•	Experiencia general con la Agencia: 4.33 / 5 — 86%
	•	Comunicación del equipo: 4.75 / 5 — 91%
	•	Calidad de productos y/o servicios: 4.67 / 5 — 91%
	•	Plazos de entrega: 4.50 / 5 — 90%
	•	Probabilidad de recomendar: 4.33 / 5 — 86.7%
	•	Probabilidad de volver a usar los servicios: 4.58 / 5 — 91.7%
Fortalezas: comunicación, calidad y recompra (91.7/) sostiene la relación y confianza. 
Sólo 1 cliente insatisfecho, el impacto porentual es alto, no es un problema estructural sino focalizado a gestionar 
</t>
  </si>
  <si>
    <t>Se desarrolló un paquete diferencial para presencia comercial 360 para marcas en el Mundial de Fútbol 2026. El plan involucra desarrollos a la medida con IA, TV y digital.</t>
  </si>
  <si>
    <t>Este indicador se evidencia una vez finalizado el periodo anual, por lo que no aplica reporte de valor en el primer trimestre.</t>
  </si>
  <si>
    <t>Ingresos por línea de Agencia – Central de Medios (Administración delegada) (Valor alcanzado: $11.352.243.866 | 40,7% de la meta)
Hace relación a la facturación neta de los contratos, la cual corresponde a recursos a administrar, honorarios y Contratos de Prestación de Servicios. 
Recursos Admin (Terminales, Concejo, Sec. Seguridad, Sec. Comunicaciones, Sec. Desarrollo Económico, Dep. Planeación, Contraloría, Área Metropolitana): $10.714.090.855. 
Autofacturas (Terminales, Sec. Seguridad, Sec. Comunicaciones): $26.556.449 — este valor se muestra como gestión pero no se suma al valor alcanzado, dado que el dinero se descuenta del recurso a administrar. 
Honorarios (Área Metropolitana, Sec. Comunicaciones, Terminales, Sec. Seguridad): $31.812.058. 
Contratos de prestación de servicios (Bureau, Munic. Envigado): $606.340.953.</t>
  </si>
  <si>
    <t>Hace relación a los incentivos facturados en la presente vigencia correspondientes a Contratistas que, con el propósito de fortalecer los vínculos comerciales y de negociación, otorgan comisión por la ordenación asignada. Esto permite alinear la estrategia comercial y tomar decisiones adecuadas para avanzar de manera conjunta en proyectos y objetivos. El bajo registro obedece al inicio de vigencia y a la dinámica propia del ciclo de los contratos.</t>
  </si>
  <si>
    <t>Ingresos por línea de alquiler de espacios y experiencias propias (Valor alcanzado: $68.113.666 | 6,8% de la meta)
Hace relación a lo facturado por alquiler de los diferentes espacios de Telemedellín. El avance del primer trimestre representa el inicio de actividad en este frente; se espera mayor dinamismo a lo largo de la vigencia conforme se activen más eventos y experiencias en el parque.</t>
  </si>
  <si>
    <t>Ingresos por línea de servicios audiovisuales (Valor alcanzado: $390.233.730 | 3,98% de la meta)
Hace relación a lo facturado por ejecución de contratos y otros servicios en la presente vigencia. Se debe tener en cuenta que la línea de negocios audiovisuales ha incrementado las labores representadas como autofacturas, las cuales no se ven reflejadas en estos indicadores pero que hacen parte de un ejercicio comercial y financiero más rentable para el canal. 
Se avanzará en ejecución de contratos firmados, generación de autofacturas y gestión de nuevos clientes tanto públicos como privados. 
Autofacturas generadas a la fecha: Personería, Secretaría de Desarrollo Económico, Secretaría de Comunicaciones: $122 millones (se muestra como gestión, pero no se suma al valor alcanzado, dado que el dinero se descuenta del recurso a administrar).</t>
  </si>
  <si>
    <t>Ingresos por línea de pauta comercial emitida a clientes (Valor alcanzado: $112.432.372 | 10,2% de la meta)
La venta de pauta emitida para la presente vigencia es de $293.209.862, de los cuales $112 millones corresponden a pauta para empresa privada y $181 millones a entidades públicas por medio de autofacturas. 
De estos, $139 millones fueron facturados en 2025 para pauta que se emitiría en 2026. Adicionalmente, se han generado autofacturas en pauta para 2026 por $42 millones.</t>
  </si>
  <si>
    <t>No se evalúa el indicador sino hasta el final del período o vigencia.</t>
  </si>
  <si>
    <t>La actualización del mapa de riesgos del área  se elaborará en el segundo trimestre del año.</t>
  </si>
  <si>
    <t>No se ha consolidado la retroalimentación que brindó el Departamento Administrativo de la Función Pública con las observaciones y recomendaciones originadas a partir del diligenciamiento del FURAG de la vigencia anterior. Por lo tanto aún no se tiene claridad de las actividades planeadas para el cumplimiento de este indicador.</t>
  </si>
  <si>
    <t>Según el Plan Anual de Auditorías de la Oficina de Control Interno, el cual fue aprobado por el Comité Institucional de Coordinación de Control Interno (CICCI), la primera auditoría interna inicia su desarrollo en el mes de abril.</t>
  </si>
  <si>
    <t>El plan de trabajo de la OCI, denominado como Plan Anual de Auditorías fue aprobado por el  Comité Institucional de Coordinación de Control Interno (CICCI) en acta del 04 de marzo de 2026. Si bien aún no se ha dado inicio a las auditorías internas, programadas para iniciar en abril, se ha dado cumplimiento a las demás actividades programadas de informes y seguimientos de Ley que concentran gran parte de su desarrollo en el primer trimestre del año, debido a ello se tiene el porcentaje de avance reportado en este indicador.</t>
  </si>
  <si>
    <t>La política de administración del riesgo aún se encuentra en proceso de actualización por parte de la entidad, de conformidad con la Guía para la Gestión Integral del Riesgo en Entidades Públicas Versión 7, publicada en el 2025 por el Departamento Administrativo de la Función Pública. Una vez sea actualizada, se procederá a realizar la revisión y actualización del mapa de riesgos.</t>
  </si>
  <si>
    <t>Su seguimiento se tiene establecido por la entidad para ser realizado de manera cuatrimestral, para un total de 3 veces al año, puede consultarse en el botón de transparencia de TELEMEDELLIN.</t>
  </si>
  <si>
    <t xml:space="preserve">Si bien si se han revisado las auditorías internas y externas, actualmente no se tienen planes de mejoramiento vigentes en la entidad, lo anterior debido a que por el cambio de periodo de la oficina de control interno, se dejaron las auditorías internas cerradas y adicionalmente en al última auditoría financiera de gestión y resultados realizada por la Contraloría Distrital de Medellín, con informe de noviembre de 2025, no se generaron hallazgos y por lo tanto la entidad no formuló un plan de mejoramiento.  </t>
  </si>
  <si>
    <t>Si bien se comenzó a diligenciar el FURAG  con las respectivas áreas de apoyo, se tiene proyectado finalizar el diligenciamiento del formulario a mediados del mes de abril y recibir la calificación institucional en el mes de julio o agosto del año.</t>
  </si>
  <si>
    <t>El mapa de riesgos se actualizará en el segundo trimestre del año.</t>
  </si>
  <si>
    <t>La medición de satisfacción de clientes internos se realizará en el segundo semestre del año.</t>
  </si>
  <si>
    <t>El informe de gestión se realiza con base en la rendición de cuentas que se elabora a final del periodo, por lo cual este indicador se ejecutará en el mes de diciembre.</t>
  </si>
  <si>
    <t>Rendición de cuentas</t>
  </si>
  <si>
    <t>La rendición de cuentas se ejecutará al finalizar el periodo, por lo cual este indicador se diligenciará en el mes de diciembre.</t>
  </si>
  <si>
    <t>Durante el primer trimestre de 2026 no se realizó la medición del índice de satisfacción del cliente interno, en coherencia con la metodología adoptada para la vigencia, la cual contempla la aplicación de una evaluación consolidada al cierre del año.
Esta definición responde a la necesidad de obtener un análisis más integral del desempeño del área de Producción, evitando que los resultados se vean afectados por circunstancias particulares de periodos específicos. De esta manera, se busca recoger una percepción más completa y objetiva por parte de las diferentes áreas del canal, considerando el efecto acumulado de las acciones, ajustes y mejoras implementadas a lo largo de la vigencia, lo cual permitirá fortalecer la calidad de la información para la toma de decisiones</t>
  </si>
  <si>
    <t>Durante el primer trimestre de 2026 no se consideró necesario realizar la actualización del Mapa de Riesgos del área de Producción, ya que no se presentaron cambios significativos en los procesos, ni en el entorno operativo que implicaran la incorporación, modificación o eliminación de riesgos identificados previamente. En este sentido, se mantiene la validez del mapa existente como herramienta de gestión y control.
No obstante, el área continuará realizando seguimiento permanente a los riesgos identificados y a los controles establecidos, con el fin de detectar oportunamente cualquier situación que requiera su actualización o fortalecimiento</t>
  </si>
  <si>
    <t>En el primer trimestre del 2026, se recibieron 762 solicitudes, de las cuales 746 fueron atendidas. En enero y febrero la plataforma de recursos no permitía discriminar cuales eran cancelados por falta de recursos o por el cliente. Se hizo la solicutud de mejora para discriminrar estos 2 tipos de cancelaciones, y en el mes de marzo comenzó operar. En marzo se recibieron 357 solicutudes de las cuales 4 fueron canceladas por el cliente y 4 por falta de recursos.</t>
  </si>
  <si>
    <t>Con la Dirección de Planeación se trabajará a partir del segundo semestre las actividades del FURAG</t>
  </si>
  <si>
    <t xml:space="preserve">Se atendieron tres (3) acciones de tutela las cuales fueron favorables a Telemedellín. Dos de ellas fueron por vinculación en relación con hechos noticiosos de presuntos hechos delictivos y una por no acceder a rectificación. </t>
  </si>
  <si>
    <t>La medición esta programa para el ultimo trimestre del año.</t>
  </si>
  <si>
    <t>Se suscribieron 298 contratos en el trimestre correspondientes a contratoss directos y las invitaciones tanto publicas como privadas, ingresados a las diferentes plataformas de SECOP con su respectivo link y a GESTIÓN TRANST´PARENTE.</t>
  </si>
  <si>
    <t>Para el primer trismestre no se actualizó la matriz de riesgo</t>
  </si>
  <si>
    <t>Se recibieron y respondieron 187 PQRSD entre el 1 de enero y el 31 de marzo del 2026 que reposan en la plataforma PQRSD.</t>
  </si>
  <si>
    <t>Se realizaron y entregaron mes a mes los informes correspondientes a los cierres y cumplimiento de la plataforma PQRSD.</t>
  </si>
  <si>
    <t>Ya se han comenzado a realizar algunas actividades de MIPG principalmente las que quedaron pendientes del año pasado con las áreas resagadas.</t>
  </si>
  <si>
    <t>Ya se han comenzado a realizar algunas actividades del plan como las asignadas a la publicación y actualización de planes en el link de transparencia de la página web de Telemedellín.</t>
  </si>
  <si>
    <t>Lograr impactar a todas las áreas con por lo menos una formación en habilidad blanda al año</t>
  </si>
  <si>
    <t>Áreas impactadas con habilidades blandas / áreas totales</t>
  </si>
  <si>
    <t># de actividades del plan de bienestar laboral ejecutadas / # de actividades del plan de bienestar laboral programadas</t>
  </si>
  <si>
    <t>LOGRO 1T- 26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</si>
</sst>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
    <numFmt numFmtId="165" formatCode="_(&quot;$&quot;\ * #,##0.00_);_(&quot;$&quot;\ * \(#,##0.00\);_(&quot;$&quot;\ * &quot;-&quot;??_);_(@_)"/>
    <numFmt numFmtId="166" formatCode="_(&quot;$&quot;\ * #,##0_);_(&quot;$&quot;\ * \(#,##0\);_(&quot;$&quot;\ * &quot;-&quot;??_);_(@_)"/>
    <numFmt numFmtId="167" formatCode="_-* #,##0_-;\-* #,##0_-;_-* &quot;-&quot;??_-;_-@_-"/>
    <numFmt numFmtId="168" formatCode="_-&quot;$&quot;\ * #,##0_-;\-&quot;$&quot;\ * #,##0_-;_-&quot;$&quot;\ * &quot;-&quot;??_-;_-@_-"/>
    <numFmt numFmtId="169" formatCode="_-* #,##0.0_-;\-* #,##0.0_-;_-* &quot;-&quot;??_-;_-@_-"/>
    <numFmt numFmtId="170"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4"/>
      <color theme="1"/>
      <name val="Arial"/>
      <family val="2"/>
    </font>
    <font>
      <sz val="10"/>
      <name val="Arial"/>
      <family val="2"/>
    </font>
    <font>
      <b/>
      <sz val="10"/>
      <name val="Arial"/>
      <family val="2"/>
    </font>
    <font>
      <sz val="9"/>
      <color theme="1"/>
      <name val="Arial"/>
      <family val="2"/>
    </font>
    <font>
      <b/>
      <sz val="12"/>
      <color theme="1"/>
      <name val="Calibri"/>
      <family val="2"/>
      <scheme val="minor"/>
    </font>
    <font>
      <sz val="9"/>
      <color indexed="81"/>
      <name val="Tahoma"/>
      <family val="2"/>
    </font>
    <font>
      <b/>
      <sz val="9"/>
      <color indexed="81"/>
      <name val="Tahoma"/>
      <family val="2"/>
    </font>
    <font>
      <b/>
      <sz val="16"/>
      <color theme="1"/>
      <name val="Calibri"/>
      <family val="2"/>
      <scheme val="minor"/>
    </font>
    <font>
      <b/>
      <sz val="14"/>
      <color theme="1"/>
      <name val="Calibri"/>
      <family val="2"/>
      <scheme val="minor"/>
    </font>
    <font>
      <b/>
      <sz val="9"/>
      <color indexed="81"/>
      <name val="Tahoma"/>
      <charset val="1"/>
    </font>
    <font>
      <sz val="11"/>
      <name val="Calibri"/>
      <family val="2"/>
      <scheme val="minor"/>
    </font>
    <font>
      <i/>
      <sz val="11"/>
      <color theme="1"/>
      <name val="Calibri"/>
      <family val="2"/>
      <scheme val="minor"/>
    </font>
  </fonts>
  <fills count="10">
    <fill>
      <patternFill patternType="none"/>
    </fill>
    <fill>
      <patternFill patternType="gray125"/>
    </fill>
    <fill>
      <patternFill patternType="solid">
        <fgColor indexed="53"/>
        <bgColor indexed="64"/>
      </patternFill>
    </fill>
    <fill>
      <patternFill patternType="solid">
        <fgColor indexed="17"/>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7"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0">
    <xf numFmtId="0" fontId="0" fillId="0" borderId="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43">
    <xf numFmtId="0" fontId="0" fillId="0" borderId="0" xfId="0"/>
    <xf numFmtId="0" fontId="3" fillId="0" borderId="0" xfId="0" applyFont="1"/>
    <xf numFmtId="0" fontId="6" fillId="3" borderId="1" xfId="4" applyFont="1" applyFill="1" applyBorder="1" applyAlignment="1">
      <alignment horizontal="center" vertical="center" wrapText="1"/>
    </xf>
    <xf numFmtId="0" fontId="6" fillId="3" borderId="1" xfId="4" applyFont="1" applyFill="1" applyBorder="1" applyAlignment="1">
      <alignment horizontal="center" vertical="center"/>
    </xf>
    <xf numFmtId="10" fontId="5" fillId="5" borderId="1" xfId="4" applyNumberFormat="1" applyFill="1" applyBorder="1" applyAlignment="1">
      <alignment horizontal="center" vertical="center" wrapText="1"/>
    </xf>
    <xf numFmtId="0" fontId="5" fillId="0" borderId="1" xfId="4" applyBorder="1" applyAlignment="1">
      <alignment horizontal="center" vertical="center" wrapText="1"/>
    </xf>
    <xf numFmtId="0" fontId="5" fillId="0" borderId="0" xfId="4"/>
    <xf numFmtId="0" fontId="7" fillId="0" borderId="0" xfId="0" applyFont="1" applyAlignment="1">
      <alignment horizontal="right" wrapText="1"/>
    </xf>
    <xf numFmtId="166" fontId="3" fillId="0" borderId="0" xfId="2" applyNumberFormat="1" applyFont="1"/>
    <xf numFmtId="164" fontId="3" fillId="0" borderId="0" xfId="0" applyNumberFormat="1" applyFont="1"/>
    <xf numFmtId="1" fontId="3" fillId="0" borderId="0" xfId="0" applyNumberFormat="1" applyFont="1"/>
    <xf numFmtId="0" fontId="3" fillId="0" borderId="1" xfId="0" applyFont="1" applyBorder="1" applyAlignment="1">
      <alignment vertical="center" wrapText="1"/>
    </xf>
    <xf numFmtId="0" fontId="3" fillId="0" borderId="1" xfId="0" applyFont="1" applyBorder="1" applyAlignment="1">
      <alignment horizontal="center" vertical="center" wrapText="1"/>
    </xf>
    <xf numFmtId="10" fontId="5" fillId="5" borderId="1" xfId="3" applyNumberFormat="1" applyFont="1" applyFill="1" applyBorder="1" applyAlignment="1">
      <alignment horizontal="center" vertical="center" wrapText="1"/>
    </xf>
    <xf numFmtId="0" fontId="5" fillId="0" borderId="1" xfId="4" applyBorder="1" applyAlignment="1">
      <alignment vertical="center" wrapText="1"/>
    </xf>
    <xf numFmtId="0" fontId="6" fillId="5" borderId="1" xfId="4" applyFont="1" applyFill="1" applyBorder="1" applyAlignment="1">
      <alignment horizontal="center" vertical="center" wrapText="1"/>
    </xf>
    <xf numFmtId="0" fontId="6" fillId="0" borderId="1" xfId="4" applyFont="1" applyBorder="1" applyAlignment="1">
      <alignment horizontal="center" vertical="center" wrapText="1"/>
    </xf>
    <xf numFmtId="164" fontId="8" fillId="6" borderId="1" xfId="3" applyNumberFormat="1" applyFont="1" applyFill="1" applyBorder="1" applyAlignment="1">
      <alignment vertical="center"/>
    </xf>
    <xf numFmtId="0" fontId="0" fillId="0" borderId="0" xfId="0" pivotButton="1"/>
    <xf numFmtId="0" fontId="0" fillId="0" borderId="0" xfId="0" applyAlignment="1">
      <alignment horizontal="left"/>
    </xf>
    <xf numFmtId="0" fontId="3" fillId="0" borderId="1" xfId="4" applyFont="1" applyBorder="1" applyAlignment="1">
      <alignment vertical="center" wrapText="1"/>
    </xf>
    <xf numFmtId="10" fontId="0" fillId="0" borderId="0" xfId="0" applyNumberFormat="1"/>
    <xf numFmtId="0" fontId="3" fillId="0" borderId="1" xfId="4" applyFont="1" applyBorder="1" applyAlignment="1">
      <alignment horizontal="center" vertical="center" wrapText="1"/>
    </xf>
    <xf numFmtId="168" fontId="2" fillId="0" borderId="1" xfId="2" applyNumberFormat="1" applyFont="1" applyFill="1" applyBorder="1" applyAlignment="1">
      <alignment horizontal="center" vertical="center"/>
    </xf>
    <xf numFmtId="0" fontId="2" fillId="0" borderId="1" xfId="0" applyFont="1" applyBorder="1" applyAlignment="1">
      <alignment horizontal="center" vertical="center"/>
    </xf>
    <xf numFmtId="167" fontId="2" fillId="0" borderId="1" xfId="1" applyNumberFormat="1" applyFont="1" applyFill="1" applyBorder="1" applyAlignment="1">
      <alignment horizontal="center" vertical="center"/>
    </xf>
    <xf numFmtId="9" fontId="2" fillId="0" borderId="1" xfId="0" applyNumberFormat="1" applyFont="1" applyBorder="1" applyAlignment="1">
      <alignment horizontal="center" vertical="center"/>
    </xf>
    <xf numFmtId="9" fontId="2" fillId="0" borderId="1" xfId="3" applyFont="1" applyFill="1" applyBorder="1" applyAlignment="1">
      <alignment horizontal="center" vertical="center"/>
    </xf>
    <xf numFmtId="0" fontId="0" fillId="0" borderId="1" xfId="0" applyBorder="1" applyAlignment="1">
      <alignment horizontal="right" vertical="center"/>
    </xf>
    <xf numFmtId="9" fontId="0" fillId="0" borderId="1" xfId="3" applyFont="1" applyFill="1" applyBorder="1" applyAlignment="1">
      <alignment horizontal="right" vertical="center"/>
    </xf>
    <xf numFmtId="2" fontId="0" fillId="0" borderId="1" xfId="0" applyNumberFormat="1" applyBorder="1" applyAlignment="1">
      <alignment horizontal="right" vertical="center"/>
    </xf>
    <xf numFmtId="167" fontId="0" fillId="0" borderId="1" xfId="1" applyNumberFormat="1" applyFont="1" applyFill="1" applyBorder="1" applyAlignment="1">
      <alignment horizontal="right" vertical="center"/>
    </xf>
    <xf numFmtId="10" fontId="0" fillId="0" borderId="1" xfId="0" applyNumberFormat="1" applyBorder="1" applyAlignment="1">
      <alignment horizontal="right" vertical="center"/>
    </xf>
    <xf numFmtId="168" fontId="0" fillId="0" borderId="1" xfId="2" applyNumberFormat="1" applyFont="1" applyFill="1" applyBorder="1" applyAlignment="1">
      <alignment horizontal="right" vertical="center"/>
    </xf>
    <xf numFmtId="9" fontId="0" fillId="0" borderId="1" xfId="0" applyNumberFormat="1" applyBorder="1" applyAlignment="1">
      <alignment horizontal="right" vertical="center"/>
    </xf>
    <xf numFmtId="164" fontId="0" fillId="0" borderId="1" xfId="3" applyNumberFormat="1" applyFont="1" applyFill="1" applyBorder="1" applyAlignment="1">
      <alignment horizontal="right" vertical="center"/>
    </xf>
    <xf numFmtId="9" fontId="0" fillId="0" borderId="0" xfId="3" applyFont="1"/>
    <xf numFmtId="9" fontId="11" fillId="0" borderId="0" xfId="3" applyFont="1" applyAlignment="1">
      <alignment horizontal="center" vertical="center"/>
    </xf>
    <xf numFmtId="9" fontId="0" fillId="0" borderId="0" xfId="3" applyFont="1" applyAlignment="1">
      <alignment horizontal="center"/>
    </xf>
    <xf numFmtId="10" fontId="2" fillId="0" borderId="1" xfId="0" applyNumberFormat="1" applyFont="1" applyBorder="1" applyAlignment="1">
      <alignment horizontal="center" vertical="center"/>
    </xf>
    <xf numFmtId="0" fontId="3" fillId="0" borderId="0" xfId="0" applyFont="1" applyAlignment="1">
      <alignment horizontal="center"/>
    </xf>
    <xf numFmtId="167" fontId="2" fillId="0" borderId="1" xfId="1" applyNumberFormat="1" applyFont="1" applyBorder="1" applyAlignment="1">
      <alignment horizontal="center" vertical="center"/>
    </xf>
    <xf numFmtId="0" fontId="5" fillId="7" borderId="1" xfId="4" applyFill="1" applyBorder="1" applyAlignment="1">
      <alignment horizontal="center" vertical="center" wrapText="1"/>
    </xf>
    <xf numFmtId="0" fontId="12" fillId="6" borderId="1" xfId="0" applyFont="1" applyFill="1" applyBorder="1" applyAlignment="1">
      <alignment vertical="center"/>
    </xf>
    <xf numFmtId="9" fontId="12" fillId="6" borderId="1" xfId="3" applyFont="1" applyFill="1" applyBorder="1" applyAlignment="1">
      <alignment vertical="center"/>
    </xf>
    <xf numFmtId="43" fontId="12" fillId="6" borderId="1" xfId="1" applyFont="1" applyFill="1" applyBorder="1" applyAlignment="1">
      <alignment vertical="center"/>
    </xf>
    <xf numFmtId="167" fontId="12" fillId="6" borderId="1" xfId="1" applyNumberFormat="1" applyFont="1" applyFill="1" applyBorder="1" applyAlignment="1">
      <alignment vertical="center"/>
    </xf>
    <xf numFmtId="10" fontId="12" fillId="6" borderId="1" xfId="3" applyNumberFormat="1" applyFont="1" applyFill="1" applyBorder="1" applyAlignment="1">
      <alignment vertical="center"/>
    </xf>
    <xf numFmtId="168" fontId="12" fillId="6" borderId="1" xfId="2" applyNumberFormat="1" applyFont="1" applyFill="1" applyBorder="1" applyAlignment="1">
      <alignment vertical="center"/>
    </xf>
    <xf numFmtId="164" fontId="12" fillId="6" borderId="1" xfId="3" applyNumberFormat="1" applyFont="1" applyFill="1" applyBorder="1" applyAlignment="1">
      <alignment vertical="center"/>
    </xf>
    <xf numFmtId="9" fontId="0" fillId="0" borderId="1" xfId="3" applyFont="1" applyFill="1" applyBorder="1" applyAlignment="1">
      <alignment horizontal="center" vertical="center"/>
    </xf>
    <xf numFmtId="0" fontId="0" fillId="0" borderId="1" xfId="0" applyBorder="1" applyAlignment="1">
      <alignment horizontal="center" vertical="center"/>
    </xf>
    <xf numFmtId="167" fontId="0" fillId="0" borderId="1" xfId="1" applyNumberFormat="1" applyFont="1" applyFill="1" applyBorder="1" applyAlignment="1">
      <alignment horizontal="center" vertical="center"/>
    </xf>
    <xf numFmtId="9" fontId="0" fillId="0" borderId="1" xfId="0" applyNumberFormat="1" applyBorder="1" applyAlignment="1">
      <alignment horizontal="center" vertical="center"/>
    </xf>
    <xf numFmtId="166" fontId="3" fillId="0" borderId="0" xfId="2" applyNumberFormat="1" applyFont="1" applyAlignment="1">
      <alignment horizontal="center"/>
    </xf>
    <xf numFmtId="9" fontId="0" fillId="0" borderId="0" xfId="0" applyNumberFormat="1" applyAlignment="1">
      <alignment horizontal="center"/>
    </xf>
    <xf numFmtId="0" fontId="0" fillId="0" borderId="0" xfId="0" applyAlignment="1">
      <alignment horizontal="center"/>
    </xf>
    <xf numFmtId="9" fontId="0" fillId="0" borderId="1" xfId="3" applyFont="1" applyBorder="1" applyAlignment="1">
      <alignment horizontal="right" vertical="center"/>
    </xf>
    <xf numFmtId="0" fontId="5" fillId="8" borderId="1" xfId="4" applyFill="1" applyBorder="1" applyAlignment="1">
      <alignment horizontal="left" vertical="top" wrapText="1"/>
    </xf>
    <xf numFmtId="10" fontId="12" fillId="6" borderId="1" xfId="3" applyNumberFormat="1" applyFont="1" applyFill="1" applyBorder="1" applyAlignment="1">
      <alignment horizontal="center" vertical="center"/>
    </xf>
    <xf numFmtId="169" fontId="0" fillId="0" borderId="1" xfId="1" applyNumberFormat="1" applyFont="1" applyFill="1" applyBorder="1" applyAlignment="1">
      <alignment horizontal="right" vertical="center"/>
    </xf>
    <xf numFmtId="0" fontId="0" fillId="8" borderId="1" xfId="0" applyFill="1" applyBorder="1" applyAlignment="1">
      <alignment horizontal="center" vertical="center"/>
    </xf>
    <xf numFmtId="9" fontId="0" fillId="8" borderId="1" xfId="3" applyFont="1" applyFill="1" applyBorder="1" applyAlignment="1">
      <alignment horizontal="center" vertical="center"/>
    </xf>
    <xf numFmtId="10" fontId="0" fillId="0" borderId="1" xfId="3" applyNumberFormat="1" applyFont="1" applyFill="1" applyBorder="1" applyAlignment="1">
      <alignment horizontal="right" vertical="center"/>
    </xf>
    <xf numFmtId="9" fontId="0" fillId="8" borderId="1" xfId="0" applyNumberFormat="1" applyFill="1" applyBorder="1" applyAlignment="1">
      <alignment horizontal="right" vertical="center"/>
    </xf>
    <xf numFmtId="0" fontId="5" fillId="8" borderId="1" xfId="4" applyFill="1" applyBorder="1" applyAlignment="1">
      <alignment horizontal="left" vertical="center" wrapText="1"/>
    </xf>
    <xf numFmtId="0" fontId="5" fillId="8" borderId="0" xfId="4" applyFill="1"/>
    <xf numFmtId="170" fontId="2" fillId="0" borderId="1" xfId="0" applyNumberFormat="1" applyFont="1" applyBorder="1" applyAlignment="1">
      <alignment horizontal="center" vertical="center"/>
    </xf>
    <xf numFmtId="0" fontId="2" fillId="8" borderId="1" xfId="0" applyFont="1" applyFill="1" applyBorder="1" applyAlignment="1">
      <alignment horizontal="center" vertical="center"/>
    </xf>
    <xf numFmtId="166" fontId="2" fillId="0" borderId="1" xfId="2" applyNumberFormat="1" applyFont="1" applyFill="1" applyBorder="1" applyAlignment="1">
      <alignment horizontal="center" vertical="center"/>
    </xf>
    <xf numFmtId="0" fontId="3" fillId="8" borderId="1" xfId="0" applyFont="1" applyFill="1" applyBorder="1" applyAlignment="1">
      <alignment vertical="center" wrapText="1"/>
    </xf>
    <xf numFmtId="0" fontId="3" fillId="8" borderId="1" xfId="0" applyFont="1" applyFill="1" applyBorder="1" applyAlignment="1">
      <alignment horizontal="center" vertical="center" wrapText="1"/>
    </xf>
    <xf numFmtId="0" fontId="3" fillId="8" borderId="1" xfId="4" applyFont="1" applyFill="1" applyBorder="1" applyAlignment="1">
      <alignment vertical="center" wrapText="1"/>
    </xf>
    <xf numFmtId="0" fontId="3" fillId="8" borderId="1" xfId="4" applyFont="1" applyFill="1" applyBorder="1" applyAlignment="1">
      <alignment horizontal="center" vertical="center" wrapText="1"/>
    </xf>
    <xf numFmtId="0" fontId="5" fillId="8" borderId="1" xfId="4" applyFill="1" applyBorder="1" applyAlignment="1">
      <alignment vertical="center" wrapText="1"/>
    </xf>
    <xf numFmtId="0" fontId="5" fillId="8" borderId="1" xfId="4" applyFill="1" applyBorder="1" applyAlignment="1">
      <alignment horizontal="center" vertical="center" wrapText="1"/>
    </xf>
    <xf numFmtId="0" fontId="5" fillId="9" borderId="1" xfId="4" applyFill="1" applyBorder="1" applyAlignment="1">
      <alignment horizontal="center" vertical="center" wrapText="1"/>
    </xf>
    <xf numFmtId="0" fontId="0" fillId="8" borderId="0" xfId="0" applyFill="1"/>
    <xf numFmtId="167" fontId="0" fillId="8" borderId="0" xfId="1" applyNumberFormat="1" applyFont="1" applyFill="1"/>
    <xf numFmtId="0" fontId="2" fillId="8" borderId="0" xfId="0" applyFont="1" applyFill="1" applyAlignment="1">
      <alignment horizontal="center"/>
    </xf>
    <xf numFmtId="167" fontId="2" fillId="8" borderId="0" xfId="1" applyNumberFormat="1" applyFont="1" applyFill="1" applyAlignment="1">
      <alignment horizontal="center"/>
    </xf>
    <xf numFmtId="9" fontId="0" fillId="8" borderId="0" xfId="3" applyFont="1" applyFill="1"/>
    <xf numFmtId="0" fontId="0" fillId="8" borderId="1" xfId="0" applyFill="1" applyBorder="1"/>
    <xf numFmtId="167" fontId="0" fillId="8" borderId="1" xfId="1" applyNumberFormat="1" applyFont="1" applyFill="1" applyBorder="1"/>
    <xf numFmtId="0" fontId="0" fillId="8" borderId="0" xfId="0" applyFill="1" applyAlignment="1">
      <alignment horizontal="center" vertical="center"/>
    </xf>
    <xf numFmtId="9" fontId="0" fillId="8" borderId="1" xfId="3" applyFont="1" applyFill="1" applyBorder="1"/>
    <xf numFmtId="167" fontId="2" fillId="8" borderId="1" xfId="1" applyNumberFormat="1" applyFont="1" applyFill="1" applyBorder="1" applyAlignment="1">
      <alignment horizontal="center" vertical="center"/>
    </xf>
    <xf numFmtId="167" fontId="2" fillId="8" borderId="1" xfId="1" applyNumberFormat="1" applyFont="1" applyFill="1" applyBorder="1" applyAlignment="1">
      <alignment horizontal="center" vertical="center" wrapText="1"/>
    </xf>
    <xf numFmtId="9" fontId="0" fillId="0" borderId="1" xfId="3" applyFont="1" applyBorder="1" applyAlignment="1">
      <alignment horizontal="center" vertical="center"/>
    </xf>
    <xf numFmtId="0" fontId="0" fillId="8" borderId="1" xfId="0" applyFill="1" applyBorder="1" applyAlignment="1">
      <alignment horizontal="right" vertical="center"/>
    </xf>
    <xf numFmtId="167" fontId="0" fillId="8" borderId="1" xfId="1" applyNumberFormat="1" applyFont="1" applyFill="1" applyBorder="1" applyAlignment="1">
      <alignment horizontal="right" vertical="center"/>
    </xf>
    <xf numFmtId="164" fontId="0" fillId="0" borderId="0" xfId="0" applyNumberFormat="1" applyAlignment="1">
      <alignment horizontal="center"/>
    </xf>
    <xf numFmtId="10" fontId="0" fillId="0" borderId="0" xfId="3" applyNumberFormat="1" applyFont="1"/>
    <xf numFmtId="1" fontId="2" fillId="0" borderId="1" xfId="0" applyNumberFormat="1" applyFont="1" applyBorder="1" applyAlignment="1">
      <alignment horizontal="center" vertical="center"/>
    </xf>
    <xf numFmtId="9" fontId="2" fillId="8" borderId="1" xfId="0" applyNumberFormat="1" applyFont="1" applyFill="1" applyBorder="1" applyAlignment="1">
      <alignment horizontal="center" vertical="center"/>
    </xf>
    <xf numFmtId="10" fontId="3" fillId="0" borderId="0" xfId="0" applyNumberFormat="1" applyFont="1" applyAlignment="1">
      <alignment horizontal="center"/>
    </xf>
    <xf numFmtId="43" fontId="0" fillId="0" borderId="1" xfId="1" applyFont="1" applyFill="1" applyBorder="1" applyAlignment="1">
      <alignment horizontal="right" vertical="center"/>
    </xf>
    <xf numFmtId="0" fontId="0" fillId="0" borderId="1" xfId="0" applyFill="1" applyBorder="1" applyAlignment="1">
      <alignment horizontal="right" vertical="center"/>
    </xf>
    <xf numFmtId="0" fontId="14" fillId="0" borderId="1" xfId="0" applyFont="1" applyFill="1" applyBorder="1" applyAlignment="1">
      <alignment horizontal="right" vertical="center"/>
    </xf>
    <xf numFmtId="0" fontId="0" fillId="0" borderId="1" xfId="0" applyBorder="1" applyAlignment="1">
      <alignment vertical="top" wrapText="1"/>
    </xf>
    <xf numFmtId="0" fontId="0" fillId="0" borderId="0" xfId="0" applyAlignment="1">
      <alignment vertical="top" wrapText="1"/>
    </xf>
    <xf numFmtId="0" fontId="0" fillId="8" borderId="1" xfId="3" applyNumberFormat="1" applyFont="1" applyFill="1" applyBorder="1" applyAlignment="1">
      <alignment horizontal="right" vertical="center"/>
    </xf>
    <xf numFmtId="168" fontId="0" fillId="0" borderId="1" xfId="2" applyNumberFormat="1" applyFont="1" applyFill="1" applyBorder="1" applyAlignment="1">
      <alignment horizontal="center" vertical="center"/>
    </xf>
    <xf numFmtId="0" fontId="5" fillId="0" borderId="0" xfId="4" applyAlignment="1">
      <alignment vertical="top" wrapText="1"/>
    </xf>
    <xf numFmtId="1" fontId="0" fillId="0" borderId="1" xfId="3" applyNumberFormat="1" applyFont="1" applyFill="1" applyBorder="1" applyAlignment="1">
      <alignment horizontal="right" vertical="center"/>
    </xf>
    <xf numFmtId="1" fontId="0" fillId="0" borderId="1" xfId="0" applyNumberFormat="1" applyBorder="1" applyAlignment="1">
      <alignment horizontal="right" vertical="center"/>
    </xf>
    <xf numFmtId="9" fontId="0" fillId="8" borderId="1" xfId="3" applyFont="1" applyFill="1" applyBorder="1" applyAlignment="1">
      <alignment horizontal="right" vertical="center"/>
    </xf>
    <xf numFmtId="9" fontId="0" fillId="0" borderId="1" xfId="3" applyNumberFormat="1" applyFont="1" applyFill="1" applyBorder="1" applyAlignment="1">
      <alignment horizontal="right" vertical="center"/>
    </xf>
    <xf numFmtId="0" fontId="5" fillId="0" borderId="1" xfId="4" applyFill="1" applyBorder="1" applyAlignment="1">
      <alignment horizontal="left" vertical="center" wrapText="1"/>
    </xf>
    <xf numFmtId="0" fontId="6" fillId="2" borderId="1" xfId="4" applyFont="1" applyFill="1" applyBorder="1" applyAlignment="1">
      <alignment horizontal="center" vertical="center" wrapText="1" shrinkToFit="1"/>
    </xf>
    <xf numFmtId="0" fontId="6" fillId="2" borderId="1" xfId="4" applyFont="1" applyFill="1" applyBorder="1" applyAlignment="1">
      <alignment vertical="center" wrapText="1" shrinkToFit="1"/>
    </xf>
    <xf numFmtId="0" fontId="6" fillId="3" borderId="10" xfId="4" applyFont="1" applyFill="1" applyBorder="1" applyAlignment="1">
      <alignment horizontal="center" vertical="center" wrapText="1"/>
    </xf>
    <xf numFmtId="0" fontId="6" fillId="3" borderId="11" xfId="4" applyFont="1" applyFill="1" applyBorder="1" applyAlignment="1">
      <alignment horizontal="center" vertical="center" wrapText="1"/>
    </xf>
    <xf numFmtId="0" fontId="6" fillId="3" borderId="12" xfId="4" applyFont="1" applyFill="1" applyBorder="1" applyAlignment="1">
      <alignment horizontal="center" vertical="center" wrapText="1"/>
    </xf>
    <xf numFmtId="0" fontId="6" fillId="4" borderId="10" xfId="4" applyFont="1" applyFill="1" applyBorder="1" applyAlignment="1">
      <alignment horizontal="center" vertical="center" wrapText="1"/>
    </xf>
    <xf numFmtId="0" fontId="6" fillId="4" borderId="11" xfId="4" applyFont="1" applyFill="1" applyBorder="1" applyAlignment="1">
      <alignment horizontal="center" vertical="center" wrapText="1"/>
    </xf>
    <xf numFmtId="0" fontId="6" fillId="4" borderId="12" xfId="4" applyFont="1" applyFill="1" applyBorder="1" applyAlignment="1">
      <alignment horizontal="center" vertic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1" xfId="0" applyFont="1" applyBorder="1"/>
    <xf numFmtId="0" fontId="3" fillId="0" borderId="12" xfId="0" applyFont="1" applyBorder="1" applyAlignment="1">
      <alignment horizontal="center"/>
    </xf>
    <xf numFmtId="0" fontId="3" fillId="0" borderId="1"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horizontal="center" vertical="center"/>
    </xf>
    <xf numFmtId="0" fontId="6" fillId="0" borderId="1" xfId="4" applyFont="1" applyBorder="1" applyAlignment="1">
      <alignment horizontal="left" vertical="center" wrapText="1"/>
    </xf>
    <xf numFmtId="0" fontId="6" fillId="0" borderId="1" xfId="4" applyFont="1" applyBorder="1" applyAlignment="1">
      <alignment vertical="center" wrapText="1"/>
    </xf>
    <xf numFmtId="0" fontId="6" fillId="0" borderId="1" xfId="4" applyFont="1" applyBorder="1" applyAlignment="1">
      <alignment horizontal="center" vertical="center" wrapText="1"/>
    </xf>
    <xf numFmtId="0" fontId="2" fillId="8" borderId="0" xfId="0" applyFont="1" applyFill="1" applyAlignment="1">
      <alignment horizontal="center"/>
    </xf>
    <xf numFmtId="0" fontId="12" fillId="8" borderId="0" xfId="0" applyFont="1" applyFill="1" applyAlignment="1">
      <alignment horizontal="center" vertical="center"/>
    </xf>
    <xf numFmtId="167" fontId="2" fillId="8" borderId="1" xfId="1" applyNumberFormat="1" applyFont="1" applyFill="1" applyBorder="1" applyAlignment="1">
      <alignment horizontal="center"/>
    </xf>
    <xf numFmtId="167" fontId="11" fillId="8" borderId="10" xfId="1" applyNumberFormat="1" applyFont="1" applyFill="1" applyBorder="1" applyAlignment="1">
      <alignment horizontal="center" vertical="center"/>
    </xf>
    <xf numFmtId="167" fontId="11" fillId="8" borderId="11" xfId="1" applyNumberFormat="1" applyFont="1" applyFill="1" applyBorder="1" applyAlignment="1">
      <alignment horizontal="center" vertical="center"/>
    </xf>
    <xf numFmtId="167" fontId="11" fillId="8" borderId="12" xfId="1" applyNumberFormat="1" applyFont="1" applyFill="1" applyBorder="1" applyAlignment="1">
      <alignment horizontal="center" vertical="center"/>
    </xf>
  </cellXfs>
  <cellStyles count="10">
    <cellStyle name="Millares" xfId="1" builtinId="3"/>
    <cellStyle name="Millares 2" xfId="5"/>
    <cellStyle name="Millares 2 2" xfId="7"/>
    <cellStyle name="Millares 2 3" xfId="9"/>
    <cellStyle name="Millares 3" xfId="6"/>
    <cellStyle name="Millares 4" xfId="8"/>
    <cellStyle name="Moneda" xfId="2" builtinId="4"/>
    <cellStyle name="Normal" xfId="0" builtinId="0"/>
    <cellStyle name="Normal 2" xfId="4"/>
    <cellStyle name="Porcentaje" xfId="3" builtinId="5"/>
  </cellStyles>
  <dxfs count="12">
    <dxf>
      <alignment horizontal="center"/>
    </dxf>
    <dxf>
      <alignment horizontal="center"/>
    </dxf>
    <dxf>
      <numFmt numFmtId="13" formatCode="0%"/>
    </dxf>
    <dxf>
      <numFmt numFmtId="13" formatCode="0%"/>
    </dxf>
    <dxf>
      <alignment horizontal="center"/>
    </dxf>
    <dxf>
      <alignment horizontal="center"/>
    </dxf>
    <dxf>
      <numFmt numFmtId="13" formatCode="0%"/>
    </dxf>
    <dxf>
      <numFmt numFmtId="164" formatCode="0.0%"/>
    </dxf>
    <dxf>
      <numFmt numFmtId="164" formatCode="0.0%"/>
    </dxf>
    <dxf>
      <alignment horizontal="center"/>
    </dxf>
    <dxf>
      <alignment horizontal="center"/>
    </dxf>
    <dxf>
      <numFmt numFmtId="13" formatCode="0%"/>
    </dxf>
  </dxfs>
  <tableStyles count="0" defaultTableStyle="TableStyleMedium2" defaultPivotStyle="PivotStyleLight16"/>
  <colors>
    <mruColors>
      <color rgb="FF31FD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2-9B44-43E9-82F4-D9E53406A95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B44-43E9-82F4-D9E53406A95A}"/>
              </c:ext>
            </c:extLst>
          </c:dPt>
          <c:dLbls>
            <c:dLbl>
              <c:idx val="0"/>
              <c:layout>
                <c:manualLayout>
                  <c:x val="0.12584269662921349"/>
                  <c:y val="-4.252087062080470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B44-43E9-82F4-D9E53406A95A}"/>
                </c:ext>
              </c:extLst>
            </c:dLbl>
            <c:dLbl>
              <c:idx val="1"/>
              <c:layout>
                <c:manualLayout>
                  <c:x val="-0.11685393258426967"/>
                  <c:y val="5.46696907981774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B44-43E9-82F4-D9E53406A95A}"/>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'Tablas Resumen'!$F$2:$F$3</c:f>
              <c:strCache>
                <c:ptCount val="2"/>
                <c:pt idx="0">
                  <c:v>Meta alcalzada</c:v>
                </c:pt>
                <c:pt idx="1">
                  <c:v>Por alcanzar</c:v>
                </c:pt>
              </c:strCache>
            </c:strRef>
          </c:cat>
          <c:val>
            <c:numRef>
              <c:f>'Tablas Resumen'!$G$2:$G$3</c:f>
              <c:numCache>
                <c:formatCode>0.00%</c:formatCode>
                <c:ptCount val="2"/>
                <c:pt idx="0">
                  <c:v>0</c:v>
                </c:pt>
                <c:pt idx="1">
                  <c:v>0</c:v>
                </c:pt>
              </c:numCache>
            </c:numRef>
          </c:val>
          <c:extLst>
            <c:ext xmlns:c16="http://schemas.microsoft.com/office/drawing/2014/chart" uri="{C3380CC4-5D6E-409C-BE32-E72D297353CC}">
              <c16:uniqueId val="{00000000-9B44-43E9-82F4-D9E53406A95A}"/>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[Plan-de-acción-Telemedellín 2026.xlsx]Tablas Resumen!TablaDinámica4</c:name>
    <c:fmtId val="0"/>
  </c:pivotSource>
  <c:chart>
    <c:autoTitleDeleted val="0"/>
    <c:pivotFmts>
      <c:pivotFmt>
        <c:idx val="0"/>
        <c:spPr>
          <a:solidFill>
            <a:schemeClr val="accent2"/>
          </a:solidFill>
          <a:ln>
            <a:noFill/>
          </a:ln>
          <a:effectLst/>
        </c:spPr>
        <c:marker>
          <c:symbol val="none"/>
        </c:marker>
      </c:pivotFmt>
      <c:pivotFmt>
        <c:idx val="1"/>
        <c:spPr>
          <a:solidFill>
            <a:schemeClr val="accent6">
              <a:lumMod val="60000"/>
              <a:lumOff val="40000"/>
            </a:schemeClr>
          </a:solidFill>
          <a:ln>
            <a:noFill/>
          </a:ln>
          <a:effectLst/>
        </c:spPr>
        <c:marker>
          <c:symbol val="none"/>
        </c:marker>
      </c:pivotFmt>
    </c:pivotFmts>
    <c:plotArea>
      <c:layout/>
      <c:barChart>
        <c:barDir val="bar"/>
        <c:grouping val="clustered"/>
        <c:varyColors val="0"/>
        <c:ser>
          <c:idx val="0"/>
          <c:order val="0"/>
          <c:tx>
            <c:strRef>
              <c:f>'Tablas Resumen'!$B$14</c:f>
              <c:strCache>
                <c:ptCount val="1"/>
                <c:pt idx="0">
                  <c:v>Suma de PONDERACIÓN</c:v>
                </c:pt>
              </c:strCache>
            </c:strRef>
          </c:tx>
          <c:spPr>
            <a:solidFill>
              <a:schemeClr val="accent2"/>
            </a:solidFill>
            <a:ln>
              <a:noFill/>
            </a:ln>
            <a:effectLst/>
          </c:spPr>
          <c:invertIfNegative val="0"/>
          <c:cat>
            <c:strRef>
              <c:f>'Tablas Resumen'!$A$15:$A$22</c:f>
              <c:strCache>
                <c:ptCount val="7"/>
                <c:pt idx="0">
                  <c:v>EN TM NOS CONECTAMOS</c:v>
                </c:pt>
                <c:pt idx="1">
                  <c:v>EN TM NOS CONOCEMOS</c:v>
                </c:pt>
                <c:pt idx="2">
                  <c:v>EN TM NOS CUIDAMOS</c:v>
                </c:pt>
                <c:pt idx="3">
                  <c:v>EN TM NOS POTENCIAMOS</c:v>
                </c:pt>
                <c:pt idx="4">
                  <c:v>EN TM NOS PROYECTAMOS</c:v>
                </c:pt>
                <c:pt idx="5">
                  <c:v>EN TM NOS TRANSFORMAMOS</c:v>
                </c:pt>
                <c:pt idx="6">
                  <c:v>EN TM NOS VEMOS Y NOS ESCUCHAMOS</c:v>
                </c:pt>
              </c:strCache>
            </c:strRef>
          </c:cat>
          <c:val>
            <c:numRef>
              <c:f>'Tablas Resumen'!$B$15:$B$22</c:f>
              <c:numCache>
                <c:formatCode>0%</c:formatCode>
                <c:ptCount val="7"/>
                <c:pt idx="0">
                  <c:v>0.124</c:v>
                </c:pt>
                <c:pt idx="1">
                  <c:v>7.4479166666666666E-2</c:v>
                </c:pt>
                <c:pt idx="2">
                  <c:v>7.6533333333333342E-2</c:v>
                </c:pt>
                <c:pt idx="3">
                  <c:v>0.36822258333333346</c:v>
                </c:pt>
                <c:pt idx="4">
                  <c:v>6.5000000000000002E-2</c:v>
                </c:pt>
                <c:pt idx="5">
                  <c:v>8.9749999999999996E-2</c:v>
                </c:pt>
                <c:pt idx="6">
                  <c:v>0.20203333333333334</c:v>
                </c:pt>
              </c:numCache>
            </c:numRef>
          </c:val>
          <c:extLst>
            <c:ext xmlns:c16="http://schemas.microsoft.com/office/drawing/2014/chart" uri="{C3380CC4-5D6E-409C-BE32-E72D297353CC}">
              <c16:uniqueId val="{00000000-8BFD-4730-B967-B67DBAB877D4}"/>
            </c:ext>
          </c:extLst>
        </c:ser>
        <c:ser>
          <c:idx val="1"/>
          <c:order val="1"/>
          <c:tx>
            <c:strRef>
              <c:f>'Tablas Resumen'!$C$14</c:f>
              <c:strCache>
                <c:ptCount val="1"/>
                <c:pt idx="0">
                  <c:v>Suma de Total alcanzado ponderado</c:v>
                </c:pt>
              </c:strCache>
            </c:strRef>
          </c:tx>
          <c:spPr>
            <a:solidFill>
              <a:schemeClr val="accent6">
                <a:lumMod val="60000"/>
                <a:lumOff val="40000"/>
              </a:schemeClr>
            </a:solidFill>
            <a:ln>
              <a:noFill/>
            </a:ln>
            <a:effectLst/>
          </c:spPr>
          <c:invertIfNegative val="0"/>
          <c:cat>
            <c:strRef>
              <c:f>'Tablas Resumen'!$A$15:$A$22</c:f>
              <c:strCache>
                <c:ptCount val="7"/>
                <c:pt idx="0">
                  <c:v>EN TM NOS CONECTAMOS</c:v>
                </c:pt>
                <c:pt idx="1">
                  <c:v>EN TM NOS CONOCEMOS</c:v>
                </c:pt>
                <c:pt idx="2">
                  <c:v>EN TM NOS CUIDAMOS</c:v>
                </c:pt>
                <c:pt idx="3">
                  <c:v>EN TM NOS POTENCIAMOS</c:v>
                </c:pt>
                <c:pt idx="4">
                  <c:v>EN TM NOS PROYECTAMOS</c:v>
                </c:pt>
                <c:pt idx="5">
                  <c:v>EN TM NOS TRANSFORMAMOS</c:v>
                </c:pt>
                <c:pt idx="6">
                  <c:v>EN TM NOS VEMOS Y NOS ESCUCHAMOS</c:v>
                </c:pt>
              </c:strCache>
            </c:strRef>
          </c:cat>
          <c:val>
            <c:numRef>
              <c:f>'Tablas Resumen'!$C$15:$C$22</c:f>
              <c:numCache>
                <c:formatCode>0%</c:formatCode>
                <c:ptCount val="7"/>
                <c:pt idx="0">
                  <c:v>1.0499575840000001E-2</c:v>
                </c:pt>
                <c:pt idx="1">
                  <c:v>3.9924851190476195E-3</c:v>
                </c:pt>
                <c:pt idx="2">
                  <c:v>#N/A</c:v>
                </c:pt>
                <c:pt idx="3">
                  <c:v>8.0144581538954013E-2</c:v>
                </c:pt>
                <c:pt idx="4">
                  <c:v>3.9000000000000003E-3</c:v>
                </c:pt>
                <c:pt idx="5">
                  <c:v>4.2726812790697677E-3</c:v>
                </c:pt>
                <c:pt idx="6">
                  <c:v>6.7701240278086772E-2</c:v>
                </c:pt>
              </c:numCache>
            </c:numRef>
          </c:val>
          <c:extLst>
            <c:ext xmlns:c16="http://schemas.microsoft.com/office/drawing/2014/chart" uri="{C3380CC4-5D6E-409C-BE32-E72D297353CC}">
              <c16:uniqueId val="{00000001-8BFD-4730-B967-B67DBAB877D4}"/>
            </c:ext>
          </c:extLst>
        </c:ser>
        <c:dLbls>
          <c:showLegendKey val="0"/>
          <c:showVal val="0"/>
          <c:showCatName val="0"/>
          <c:showSerName val="0"/>
          <c:showPercent val="0"/>
          <c:showBubbleSize val="0"/>
        </c:dLbls>
        <c:gapWidth val="182"/>
        <c:axId val="1842907567"/>
        <c:axId val="1842915887"/>
      </c:barChart>
      <c:catAx>
        <c:axId val="18429075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42915887"/>
        <c:crosses val="autoZero"/>
        <c:auto val="1"/>
        <c:lblAlgn val="ctr"/>
        <c:lblOffset val="100"/>
        <c:noMultiLvlLbl val="0"/>
      </c:catAx>
      <c:valAx>
        <c:axId val="184291588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4290756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[Plan-de-acción-Telemedellín 2026.xlsx]Tablas Resumen!TablaDinámica5</c:name>
    <c:fmtId val="0"/>
  </c:pivotSource>
  <c:chart>
    <c:autoTitleDeleted val="0"/>
    <c:pivotFmts>
      <c:pivotFmt>
        <c:idx val="0"/>
        <c:spPr>
          <a:solidFill>
            <a:schemeClr val="accent2"/>
          </a:solidFill>
          <a:ln>
            <a:noFill/>
          </a:ln>
          <a:effectLst/>
        </c:spPr>
        <c:marker>
          <c:symbol val="none"/>
        </c:marker>
      </c:pivotFmt>
      <c:pivotFmt>
        <c:idx val="1"/>
        <c:spPr>
          <a:solidFill>
            <a:schemeClr val="accent6">
              <a:lumMod val="60000"/>
              <a:lumOff val="40000"/>
            </a:schemeClr>
          </a:solidFill>
          <a:ln>
            <a:noFill/>
          </a:ln>
          <a:effectLst/>
        </c:spPr>
        <c:marker>
          <c:symbol val="none"/>
        </c:marker>
      </c:pivotFmt>
    </c:pivotFmts>
    <c:plotArea>
      <c:layout/>
      <c:areaChart>
        <c:grouping val="standard"/>
        <c:varyColors val="0"/>
        <c:ser>
          <c:idx val="0"/>
          <c:order val="0"/>
          <c:tx>
            <c:strRef>
              <c:f>'Tablas Resumen'!$B$25</c:f>
              <c:strCache>
                <c:ptCount val="1"/>
                <c:pt idx="0">
                  <c:v>Suma de PONDERACIÓN</c:v>
                </c:pt>
              </c:strCache>
            </c:strRef>
          </c:tx>
          <c:spPr>
            <a:solidFill>
              <a:schemeClr val="accent2"/>
            </a:solidFill>
            <a:ln>
              <a:noFill/>
            </a:ln>
            <a:effectLst/>
          </c:spPr>
          <c:cat>
            <c:strRef>
              <c:f>'Tablas Resumen'!$A$26:$A$37</c:f>
              <c:strCache>
                <c:ptCount val="11"/>
                <c:pt idx="0">
                  <c:v>Agencia TM</c:v>
                </c:pt>
                <c:pt idx="1">
                  <c:v>Control Interno</c:v>
                </c:pt>
                <c:pt idx="2">
                  <c:v>Dirección Administrativa y Financiera</c:v>
                </c:pt>
                <c:pt idx="3">
                  <c:v>Dirección de Contenidos y Distribución</c:v>
                </c:pt>
                <c:pt idx="4">
                  <c:v>Dirección de Contenidos y Distribución (Digital)</c:v>
                </c:pt>
                <c:pt idx="5">
                  <c:v>Dirección de Relaciones Corporativas</c:v>
                </c:pt>
                <c:pt idx="6">
                  <c:v>Dirección de Tecnología e Innovación</c:v>
                </c:pt>
                <c:pt idx="7">
                  <c:v>Jefatura de Gestión Humana</c:v>
                </c:pt>
                <c:pt idx="8">
                  <c:v>Planeación</c:v>
                </c:pt>
                <c:pt idx="9">
                  <c:v>Producción</c:v>
                </c:pt>
                <c:pt idx="10">
                  <c:v>Secretaría General</c:v>
                </c:pt>
              </c:strCache>
            </c:strRef>
          </c:cat>
          <c:val>
            <c:numRef>
              <c:f>'Tablas Resumen'!$B$26:$B$37</c:f>
              <c:numCache>
                <c:formatCode>0.0%</c:formatCode>
                <c:ptCount val="11"/>
                <c:pt idx="0">
                  <c:v>7.6517999999999989E-2</c:v>
                </c:pt>
                <c:pt idx="1">
                  <c:v>2.9166666666666667E-2</c:v>
                </c:pt>
                <c:pt idx="2">
                  <c:v>9.9890000000000007E-2</c:v>
                </c:pt>
                <c:pt idx="3">
                  <c:v>0.26427500000000004</c:v>
                </c:pt>
                <c:pt idx="4">
                  <c:v>0.124</c:v>
                </c:pt>
                <c:pt idx="5">
                  <c:v>0.10767083333333334</c:v>
                </c:pt>
                <c:pt idx="6">
                  <c:v>0.11244166666666666</c:v>
                </c:pt>
                <c:pt idx="7">
                  <c:v>9.1695416666666682E-2</c:v>
                </c:pt>
                <c:pt idx="8">
                  <c:v>3.9278750000000001E-2</c:v>
                </c:pt>
                <c:pt idx="9">
                  <c:v>1.7433333333333332E-2</c:v>
                </c:pt>
                <c:pt idx="10">
                  <c:v>3.7648749999999995E-2</c:v>
                </c:pt>
              </c:numCache>
            </c:numRef>
          </c:val>
          <c:extLst>
            <c:ext xmlns:c16="http://schemas.microsoft.com/office/drawing/2014/chart" uri="{C3380CC4-5D6E-409C-BE32-E72D297353CC}">
              <c16:uniqueId val="{00000000-3F0A-4290-8DB0-C69AD3192A8E}"/>
            </c:ext>
          </c:extLst>
        </c:ser>
        <c:ser>
          <c:idx val="1"/>
          <c:order val="1"/>
          <c:tx>
            <c:strRef>
              <c:f>'Tablas Resumen'!$C$25</c:f>
              <c:strCache>
                <c:ptCount val="1"/>
                <c:pt idx="0">
                  <c:v>Suma de Total alcanzado ponderado</c:v>
                </c:pt>
              </c:strCache>
            </c:strRef>
          </c:tx>
          <c:spPr>
            <a:solidFill>
              <a:schemeClr val="accent6">
                <a:lumMod val="60000"/>
                <a:lumOff val="40000"/>
              </a:schemeClr>
            </a:solidFill>
            <a:ln>
              <a:noFill/>
            </a:ln>
            <a:effectLst/>
          </c:spPr>
          <c:cat>
            <c:strRef>
              <c:f>'Tablas Resumen'!$A$26:$A$37</c:f>
              <c:strCache>
                <c:ptCount val="11"/>
                <c:pt idx="0">
                  <c:v>Agencia TM</c:v>
                </c:pt>
                <c:pt idx="1">
                  <c:v>Control Interno</c:v>
                </c:pt>
                <c:pt idx="2">
                  <c:v>Dirección Administrativa y Financiera</c:v>
                </c:pt>
                <c:pt idx="3">
                  <c:v>Dirección de Contenidos y Distribución</c:v>
                </c:pt>
                <c:pt idx="4">
                  <c:v>Dirección de Contenidos y Distribución (Digital)</c:v>
                </c:pt>
                <c:pt idx="5">
                  <c:v>Dirección de Relaciones Corporativas</c:v>
                </c:pt>
                <c:pt idx="6">
                  <c:v>Dirección de Tecnología e Innovación</c:v>
                </c:pt>
                <c:pt idx="7">
                  <c:v>Jefatura de Gestión Humana</c:v>
                </c:pt>
                <c:pt idx="8">
                  <c:v>Planeación</c:v>
                </c:pt>
                <c:pt idx="9">
                  <c:v>Producción</c:v>
                </c:pt>
                <c:pt idx="10">
                  <c:v>Secretaría General</c:v>
                </c:pt>
              </c:strCache>
            </c:strRef>
          </c:cat>
          <c:val>
            <c:numRef>
              <c:f>'Tablas Resumen'!$C$26:$C$37</c:f>
              <c:numCache>
                <c:formatCode>0.0%</c:formatCode>
                <c:ptCount val="11"/>
                <c:pt idx="0">
                  <c:v>2.4403598080421283E-2</c:v>
                </c:pt>
                <c:pt idx="1">
                  <c:v>3.0333333333333336E-3</c:v>
                </c:pt>
                <c:pt idx="2">
                  <c:v>1.3890953406550909E-2</c:v>
                </c:pt>
                <c:pt idx="3">
                  <c:v>6.7701240278086772E-2</c:v>
                </c:pt>
                <c:pt idx="4">
                  <c:v>1.0499575840000001E-2</c:v>
                </c:pt>
                <c:pt idx="5">
                  <c:v>9.6624851190476209E-3</c:v>
                </c:pt>
                <c:pt idx="6">
                  <c:v>9.0851812790697685E-3</c:v>
                </c:pt>
                <c:pt idx="7">
                  <c:v>#N/A</c:v>
                </c:pt>
                <c:pt idx="8">
                  <c:v>1.0444282001299547E-3</c:v>
                </c:pt>
                <c:pt idx="9">
                  <c:v>5.8333333333333336E-3</c:v>
                </c:pt>
                <c:pt idx="10">
                  <c:v>1.924E-2</c:v>
                </c:pt>
              </c:numCache>
            </c:numRef>
          </c:val>
          <c:extLst>
            <c:ext xmlns:c16="http://schemas.microsoft.com/office/drawing/2014/chart" uri="{C3380CC4-5D6E-409C-BE32-E72D297353CC}">
              <c16:uniqueId val="{00000001-3F0A-4290-8DB0-C69AD3192A8E}"/>
            </c:ext>
          </c:extLst>
        </c:ser>
        <c:dLbls>
          <c:showLegendKey val="0"/>
          <c:showVal val="0"/>
          <c:showCatName val="0"/>
          <c:showSerName val="0"/>
          <c:showPercent val="0"/>
          <c:showBubbleSize val="0"/>
        </c:dLbls>
        <c:axId val="1844854383"/>
        <c:axId val="1844841487"/>
      </c:areaChart>
      <c:catAx>
        <c:axId val="18448543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44841487"/>
        <c:crosses val="autoZero"/>
        <c:auto val="1"/>
        <c:lblAlgn val="ctr"/>
        <c:lblOffset val="100"/>
        <c:noMultiLvlLbl val="0"/>
      </c:catAx>
      <c:valAx>
        <c:axId val="184484148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44854383"/>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830035</xdr:colOff>
      <xdr:row>0</xdr:row>
      <xdr:rowOff>81644</xdr:rowOff>
    </xdr:from>
    <xdr:to>
      <xdr:col>3</xdr:col>
      <xdr:colOff>190499</xdr:colOff>
      <xdr:row>2</xdr:row>
      <xdr:rowOff>163287</xdr:rowOff>
    </xdr:to>
    <xdr:pic>
      <xdr:nvPicPr>
        <xdr:cNvPr id="3" name="Imagen 2">
          <a:extLst>
            <a:ext uri="{FF2B5EF4-FFF2-40B4-BE49-F238E27FC236}">
              <a16:creationId xmlns:a16="http://schemas.microsoft.com/office/drawing/2014/main" id="{0B38DE5A-D2AF-4BDC-A66C-3B51B6B976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035" y="81644"/>
          <a:ext cx="2503714" cy="707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361950</xdr:colOff>
      <xdr:row>29</xdr:row>
      <xdr:rowOff>9525</xdr:rowOff>
    </xdr:from>
    <xdr:to>
      <xdr:col>17</xdr:col>
      <xdr:colOff>257799</xdr:colOff>
      <xdr:row>41</xdr:row>
      <xdr:rowOff>114634</xdr:rowOff>
    </xdr:to>
    <xdr:pic>
      <xdr:nvPicPr>
        <xdr:cNvPr id="4" name="Imagen 3">
          <a:extLst>
            <a:ext uri="{FF2B5EF4-FFF2-40B4-BE49-F238E27FC236}">
              <a16:creationId xmlns:a16="http://schemas.microsoft.com/office/drawing/2014/main" id="{D032CC1C-07C6-488A-92D6-10FE43C54243}"/>
            </a:ext>
          </a:extLst>
        </xdr:cNvPr>
        <xdr:cNvPicPr>
          <a:picLocks noChangeAspect="1"/>
        </xdr:cNvPicPr>
      </xdr:nvPicPr>
      <xdr:blipFill>
        <a:blip xmlns:r="http://schemas.openxmlformats.org/officeDocument/2006/relationships" r:embed="rId1"/>
        <a:stretch>
          <a:fillRect/>
        </a:stretch>
      </xdr:blipFill>
      <xdr:spPr>
        <a:xfrm>
          <a:off x="13087350" y="5610225"/>
          <a:ext cx="4467849" cy="2391109"/>
        </a:xfrm>
        <a:prstGeom prst="rect">
          <a:avLst/>
        </a:prstGeom>
      </xdr:spPr>
    </xdr:pic>
    <xdr:clientData/>
  </xdr:twoCellAnchor>
  <xdr:twoCellAnchor>
    <xdr:from>
      <xdr:col>7</xdr:col>
      <xdr:colOff>123825</xdr:colOff>
      <xdr:row>1</xdr:row>
      <xdr:rowOff>23812</xdr:rowOff>
    </xdr:from>
    <xdr:to>
      <xdr:col>12</xdr:col>
      <xdr:colOff>552450</xdr:colOff>
      <xdr:row>12</xdr:row>
      <xdr:rowOff>19050</xdr:rowOff>
    </xdr:to>
    <xdr:graphicFrame macro="">
      <xdr:nvGraphicFramePr>
        <xdr:cNvPr id="6" name="Gráfico 5">
          <a:extLst>
            <a:ext uri="{FF2B5EF4-FFF2-40B4-BE49-F238E27FC236}">
              <a16:creationId xmlns:a16="http://schemas.microsoft.com/office/drawing/2014/main" id="{2F1D3963-371E-4FDC-A683-7003A92591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514349</xdr:colOff>
      <xdr:row>12</xdr:row>
      <xdr:rowOff>52387</xdr:rowOff>
    </xdr:from>
    <xdr:to>
      <xdr:col>13</xdr:col>
      <xdr:colOff>571500</xdr:colOff>
      <xdr:row>24</xdr:row>
      <xdr:rowOff>95250</xdr:rowOff>
    </xdr:to>
    <xdr:graphicFrame macro="">
      <xdr:nvGraphicFramePr>
        <xdr:cNvPr id="7" name="Gráfico 6">
          <a:extLst>
            <a:ext uri="{FF2B5EF4-FFF2-40B4-BE49-F238E27FC236}">
              <a16:creationId xmlns:a16="http://schemas.microsoft.com/office/drawing/2014/main" id="{FA2ED20D-2BA3-4935-A18E-61C9E04524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723900</xdr:colOff>
      <xdr:row>26</xdr:row>
      <xdr:rowOff>33336</xdr:rowOff>
    </xdr:from>
    <xdr:to>
      <xdr:col>13</xdr:col>
      <xdr:colOff>114300</xdr:colOff>
      <xdr:row>47</xdr:row>
      <xdr:rowOff>47625</xdr:rowOff>
    </xdr:to>
    <xdr:graphicFrame macro="">
      <xdr:nvGraphicFramePr>
        <xdr:cNvPr id="8" name="Gráfico 7">
          <a:extLst>
            <a:ext uri="{FF2B5EF4-FFF2-40B4-BE49-F238E27FC236}">
              <a16:creationId xmlns:a16="http://schemas.microsoft.com/office/drawing/2014/main" id="{FA95B048-ED05-47FE-BADF-F52B08204B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uan Morales" refreshedDate="46142.579835416669" createdVersion="7" refreshedVersion="6" minRefreshableVersion="3" recordCount="106">
  <cacheSource type="worksheet">
    <worksheetSource ref="A9:Z115" sheet="Telemedellín"/>
  </cacheSource>
  <cacheFields count="26">
    <cacheField name="INS / Identificación" numFmtId="0">
      <sharedItems containsSemiMixedTypes="0" containsString="0" containsNumber="1" containsInteger="1" minValue="1" maxValue="106"/>
    </cacheField>
    <cacheField name="Categoría Interna" numFmtId="0">
      <sharedItems/>
    </cacheField>
    <cacheField name="DIMENSIÓN PLAN DE DESARROLLO ALCALDÍA DE MEDELLÍN" numFmtId="0">
      <sharedItems/>
    </cacheField>
    <cacheField name="OBJETIVO ESTRATÉGICO " numFmtId="0">
      <sharedItems count="6">
        <s v="ELEVAR EL NIVEL DE COMPETITIVIDAD Y POSICIONAMIENTO DEL CANAL"/>
        <s v="ELEVAR LA CAPACIDAD DE INNOVACIÓN, CALIDAD TÉCNICA Y AUDIOVISUAL"/>
        <s v="AUMENTAR EL NIVEL DE DESEMPEÑO INDIVIDUAL Y COLECTIVO"/>
        <s v="ADMINISTRAR Y OPTIMIZAR EFICIENTEMENTE LOS RECURSOS FINANCIEROS"/>
        <s v="REALIZAR ALIANZAS ESTRATÉGICAS CON LA ALCADÍA Y SUS ENTES DESCENTRALIZADOS"/>
        <s v="INCREMENTAR EL NIVEL DE EFICIENCIA Y EFICACIA ADMINISTRATIVA Y OPERATIVA"/>
      </sharedItems>
    </cacheField>
    <cacheField name="LÍNEA ESTRATÉGICA" numFmtId="0">
      <sharedItems count="12">
        <s v="EN TM NOS VEMOS Y NOS ESCUCHAMOS"/>
        <s v="EN TM NOS CONECTAMOS"/>
        <s v="EN TM NOS CONOCEMOS"/>
        <s v="EN TM NOS TRANSFORMAMOS"/>
        <s v="EN TM NOS PROYECTAMOS"/>
        <s v="EN TM NOS CUIDAMOS"/>
        <s v="EN TM NOS POTENCIAMOS"/>
        <s v="Nos Potenciamos" u="1"/>
        <s v="Nos Vemos y nos escuchamos" u="1"/>
        <s v="Nos Cuidamos" u="1"/>
        <s v="Nos Transformamos" u="1"/>
        <s v="Nos Conocemos" u="1"/>
      </sharedItems>
    </cacheField>
    <cacheField name="RESPONSABLE" numFmtId="0">
      <sharedItems count="11">
        <s v="Dirección de Contenidos y Distribución"/>
        <s v="Dirección de Contenidos y Distribución (Digital)"/>
        <s v="Dirección de Relaciones Corporativas"/>
        <s v="Dirección de Tecnología e Innovación"/>
        <s v="Dirección Administrativa y Financiera"/>
        <s v="Jefatura de Gestión Humana"/>
        <s v="Agencia TM"/>
        <s v="Control Interno"/>
        <s v="Planeación"/>
        <s v="Producción"/>
        <s v="Secretaría General"/>
      </sharedItems>
    </cacheField>
    <cacheField name="Nombre indicador" numFmtId="0">
      <sharedItems/>
    </cacheField>
    <cacheField name="Objetivo del indicador" numFmtId="0">
      <sharedItems/>
    </cacheField>
    <cacheField name="Mide" numFmtId="0">
      <sharedItems/>
    </cacheField>
    <cacheField name="Fórmula" numFmtId="0">
      <sharedItems/>
    </cacheField>
    <cacheField name="Periodicidad" numFmtId="0">
      <sharedItems/>
    </cacheField>
    <cacheField name="Ayuda del  Cálculo" numFmtId="0">
      <sharedItems/>
    </cacheField>
    <cacheField name="Meta" numFmtId="0">
      <sharedItems containsMixedTypes="1" containsNumber="1" minValue="8.0000000000000002E-3" maxValue="37500000000"/>
    </cacheField>
    <cacheField name="PONDERACIÓN" numFmtId="10">
      <sharedItems containsSemiMixedTypes="0" containsString="0" containsNumber="1" minValue="2.856E-3" maxValue="3.2500000000000001E-2"/>
    </cacheField>
    <cacheField name="Valor alcanzado 1° trimestre" numFmtId="0">
      <sharedItems containsMixedTypes="1" containsNumber="1" minValue="-3472430813" maxValue="18506753270"/>
    </cacheField>
    <cacheField name="Valor alcanzado 2° trimestre" numFmtId="0">
      <sharedItems containsNonDate="0" containsString="0" containsBlank="1"/>
    </cacheField>
    <cacheField name="Valor alcanzado 3° trimestre" numFmtId="0">
      <sharedItems containsNonDate="0" containsString="0" containsBlank="1"/>
    </cacheField>
    <cacheField name="Valor alcanzado 4° trimestre" numFmtId="0">
      <sharedItems containsNonDate="0" containsString="0" containsBlank="1"/>
    </cacheField>
    <cacheField name="RESULTADO 2026" numFmtId="0">
      <sharedItems containsSemiMixedTypes="0" containsString="0" containsNumber="1" minValue="0" maxValue="18506753270"/>
    </cacheField>
    <cacheField name="Ayuda del  Cálculo2" numFmtId="0">
      <sharedItems containsBlank="1"/>
    </cacheField>
    <cacheField name="Porcentaje alcanzado de la meta" numFmtId="164">
      <sharedItems containsMixedTypes="1" containsNumber="1" minValue="0" maxValue="2.2600000000000002"/>
    </cacheField>
    <cacheField name="Total alcanzado ponderado" numFmtId="10">
      <sharedItems containsMixedTypes="1" containsNumber="1" minValue="0" maxValue="2.63E-2"/>
    </cacheField>
    <cacheField name="Análisis 1° trimestre" numFmtId="0">
      <sharedItems longText="1"/>
    </cacheField>
    <cacheField name="Análisis 2° trimestre" numFmtId="0">
      <sharedItems containsNonDate="0" containsString="0" containsBlank="1"/>
    </cacheField>
    <cacheField name="Análisis 3° trimestre" numFmtId="0">
      <sharedItems containsNonDate="0" containsString="0" containsBlank="1"/>
    </cacheField>
    <cacheField name="Análisis 4° trimestre"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
  <r>
    <n v="1"/>
    <s v="PEI"/>
    <s v="3.4.6-COMUNICACIÓN PÚBLICA PARA EL FORTALECIMIENTO DE LA INSTITUCIONALIDAD Y LA CONFIANZA CIUDADANA"/>
    <x v="0"/>
    <x v="0"/>
    <x v="0"/>
    <s v="Ranking encuesta “Cómo se informan los líderes”"/>
    <s v="Evaluar la posición ranking del departamento Antioquia: Medios regionales de mayor influencia"/>
    <s v="Eficacia"/>
    <s v="Ranking en la encuesta “Cómo se informan los líderes”"/>
    <s v="Trimestral"/>
    <s v="Valor alcanzado en cada trimestre. Si no se evaluó, es cero &quot;0&quot;"/>
    <n v="4"/>
    <n v="1.9699999999999999E-2"/>
    <n v="0"/>
    <m/>
    <m/>
    <m/>
    <n v="0"/>
    <s v="Mínimo"/>
    <n v="0"/>
    <n v="0"/>
    <s v="La publicación de la encuesta se realiza a finales de año 2026"/>
    <m/>
    <m/>
    <m/>
  </r>
  <r>
    <n v="2"/>
    <s v="PEI"/>
    <s v="3.4.6-COMUNICACIÓN PÚBLICA PARA EL FORTALECIMIENTO DE LA INSTITUCIONALIDAD Y LA CONFIANZA CIUDADANA"/>
    <x v="0"/>
    <x v="0"/>
    <x v="0"/>
    <s v="Porcentaje en la encuesta “Cómo se informan los líderes”"/>
    <s v="Evaluar la posición porcentual Antioquia: Medios regionales de mayor influencia"/>
    <s v="Eficacia"/>
    <s v="Porcentaje en la encuesta “Cómo se informan los líderes”"/>
    <s v="Trimestral"/>
    <s v="Valor alcanzado en cada trimestre. Si no se evaluó, es cero &quot;0&quot;"/>
    <n v="7.0000000000000007E-2"/>
    <n v="1.9699999999999999E-2"/>
    <n v="0"/>
    <m/>
    <m/>
    <m/>
    <n v="0"/>
    <s v="Máximo"/>
    <n v="0"/>
    <n v="0"/>
    <s v="La publicación de la encuesta se realiza a finales de año 2026."/>
    <m/>
    <m/>
    <m/>
  </r>
  <r>
    <n v="3"/>
    <s v="PEI"/>
    <s v="3.4.6-COMUNICACIÓN PÚBLICA PARA EL FORTALECIMIENTO DE LA INSTITUCIONALIDAD Y LA CONFIANZA CIUDADANA"/>
    <x v="0"/>
    <x v="0"/>
    <x v="0"/>
    <s v="Rating promedio Sistema informativo"/>
    <s v="Evaluar el rating promedio 20 emisiones estreno más vistas del Sistema Informativo en Antioquia"/>
    <s v="Eficacia"/>
    <s v="Promedio de las 20 emisiones más vistas del Sistema Informativo en Antioquia."/>
    <s v="Trimestral"/>
    <s v="Valor máximo alcanzado en los trimestres de evaluación."/>
    <n v="1.5"/>
    <n v="2.63E-2"/>
    <n v="3.39"/>
    <m/>
    <m/>
    <m/>
    <n v="3.39"/>
    <s v="Acumulado"/>
    <n v="2.2600000000000002"/>
    <n v="2.63E-2"/>
    <s v="El promedio de rating para la fanja en este primer trimestre cumplió nuestras expectativas, continuaremos así para cumplir con la meta propuesta."/>
    <m/>
    <m/>
    <m/>
  </r>
  <r>
    <n v="4"/>
    <s v="PEI"/>
    <s v="3.4.6-COMUNICACIÓN PÚBLICA PARA EL FORTALECIMIENTO DE LA INSTITUCIONALIDAD Y LA CONFIANZA CIUDADANA"/>
    <x v="0"/>
    <x v="0"/>
    <x v="0"/>
    <s v="Horas estreno franja informativa"/>
    <s v="Emitir horas estreno programas franja Informativa, Opinión, Investigación"/>
    <s v="Eficiencia"/>
    <s v="Sumatoria horas estreno franja informativa"/>
    <s v="Trimestral"/>
    <s v="Valor alcanzado en cada trimestre. Si no se evaluó, es cero &quot;0&quot;"/>
    <n v="1500"/>
    <n v="2.63E-2"/>
    <n v="412.2"/>
    <m/>
    <m/>
    <m/>
    <n v="412.2"/>
    <s v="Suma"/>
    <n v="0.27479999999999999"/>
    <n v="7.2272400000000002E-3"/>
    <s v="El valor de horas alcanzado en este trimestre cumple con lo propuesto para alcanzar la meta."/>
    <m/>
    <m/>
    <m/>
  </r>
  <r>
    <n v="5"/>
    <s v="PEI"/>
    <s v="3.4.6-COMUNICACIÓN PÚBLICA PARA EL FORTALECIMIENTO DE LA INSTITUCIONALIDAD Y LA CONFIANZA CIUDADANA"/>
    <x v="0"/>
    <x v="0"/>
    <x v="0"/>
    <s v="Rating promedio franja Cultura Ciudadana, Deporte y Entretenimiento."/>
    <s v="Evaluar el rating promedio de las 20 emisiones más vistas de los programas que componen la franja Cultura Ciudadana, Deporte y Entretenimiento."/>
    <s v="Eficacia"/>
    <s v="Promedio de las 20 emisiones más vistas de la franja en Antioquia"/>
    <s v="Trimestral"/>
    <s v="Valor máximo alcanzado en los trimestres de evaluación."/>
    <n v="1"/>
    <n v="1.95E-2"/>
    <n v="2.19"/>
    <m/>
    <m/>
    <m/>
    <n v="2.19"/>
    <s v="Acumulado"/>
    <n v="2.19"/>
    <n v="1.95E-2"/>
    <s v="Los programas que componen la franja iniciaron a mediados de febrero. Aunque el promedio fue positivo, esperamos que en los próximos trimestre aumente para cumplir con la meta propuesta."/>
    <m/>
    <m/>
    <m/>
  </r>
  <r>
    <n v="6"/>
    <s v="PEI"/>
    <s v="3.4.6-COMUNICACIÓN PÚBLICA PARA EL FORTALECIMIENTO DE LA INSTITUCIONALIDAD Y LA CONFIANZA CIUDADANA"/>
    <x v="0"/>
    <x v="0"/>
    <x v="0"/>
    <s v="Horas estreno franja Cultura Ciudadana, Deporte y Entretenimiento."/>
    <s v="Emitir horas estreno programas propios que componen la franja Cultura Ciudadana, Deporte y Entretenimiento."/>
    <s v="Eficiencia"/>
    <s v="Sumatoria de horas que componen los programas de la franja"/>
    <s v="Trimestral"/>
    <s v="Valor alcanzado en cada trimestre. Si no se evaluó, es cero &quot;0&quot;"/>
    <n v="1200"/>
    <n v="2.6000000000000002E-2"/>
    <n v="230.2"/>
    <m/>
    <m/>
    <m/>
    <n v="230.2"/>
    <s v="Suma"/>
    <n v="0.19183333333333333"/>
    <n v="4.9876666666666672E-3"/>
    <s v="Las horas de la franja están por debajo de la meta propuesta ya que los programas iniciaron a mediados de febrero, esperamos un aumento significativo en los próximos trimestres."/>
    <m/>
    <m/>
    <m/>
  </r>
  <r>
    <n v="7"/>
    <s v="PEI"/>
    <s v="3.4.6-COMUNICACIÓN PÚBLICA PARA EL FORTALECIMIENTO DE LA INSTITUCIONALIDAD Y LA CONFIANZA CIUDADANA"/>
    <x v="0"/>
    <x v="0"/>
    <x v="0"/>
    <s v="Horas estreno franja Comunicación Pública."/>
    <s v="Emitir horas estreno de programas que componen franja Comunicación Pública."/>
    <s v="Eficiencia"/>
    <s v="Sumatoria de horas en parrilla de los programas que componen la franja"/>
    <s v="Trimestral"/>
    <s v="Valor alcanzado en cada trimestre. Si no se evaluó, es cero &quot;0&quot;"/>
    <n v="248"/>
    <n v="3.2500000000000001E-2"/>
    <n v="39.700000000000003"/>
    <m/>
    <m/>
    <m/>
    <n v="39.700000000000003"/>
    <s v="Suma"/>
    <n v="0.16008064516129034"/>
    <n v="5.2026209677419359E-3"/>
    <s v="Al no haber iniciado en el primer mes de este primer trimestre la emisión de la mayoría de los programas de la franja de Comunicación Pública, aún no se alcanza el número estimado, pero en los siguientes trimestres se compensarán para alcanzar la meta estimada. "/>
    <m/>
    <m/>
    <m/>
  </r>
  <r>
    <n v="8"/>
    <s v="PEI"/>
    <s v="3.4.6-COMUNICACIÓN PÚBLICA PARA EL FORTALECIMIENTO DE LA INSTITUCIONALIDAD Y LA CONFIANZA CIUDADANA"/>
    <x v="0"/>
    <x v="0"/>
    <x v="0"/>
    <s v="Alianzas Internacionales para intercambio de contenidos"/>
    <s v="Medir las alianzas Internacionales para intercambio de contenidos producidos por Telemedellín."/>
    <s v="Eficiencia"/>
    <s v="Cantidad de contenidos compartidos"/>
    <s v="Trimestral"/>
    <s v="Valor alcanzado en cada trimestre. Si no se evaluó, es cero &quot;0&quot;"/>
    <n v="3"/>
    <n v="6.5000000000000006E-3"/>
    <n v="0"/>
    <m/>
    <m/>
    <m/>
    <n v="0"/>
    <s v="Suma"/>
    <n v="0"/>
    <n v="0"/>
    <s v="Se tiene prevista la cooperación de contenidos con TAL para el segundo trimestre."/>
    <m/>
    <m/>
    <m/>
  </r>
  <r>
    <n v="9"/>
    <s v="PEI"/>
    <s v="3.4.6-COMUNICACIÓN PÚBLICA PARA EL FORTALECIMIENTO DE LA INSTITUCIONALIDAD Y LA CONFIANZA CIUDADANA"/>
    <x v="0"/>
    <x v="0"/>
    <x v="0"/>
    <s v="Galardones"/>
    <s v="Medir los Galardones obtenidos. (Galardones obtenidos con producciones propias y/o coproducción)"/>
    <s v="Eficiencia"/>
    <s v="Sumatoria de galardones en eventos locales, nacionales e internacionales"/>
    <s v="Trimestral"/>
    <s v="Valor alcanzado en cada trimestre. Si no se evaluó, es cero &quot;0&quot;"/>
    <n v="3"/>
    <n v="6.5000000000000006E-3"/>
    <n v="0"/>
    <m/>
    <m/>
    <m/>
    <n v="0"/>
    <s v="Suma"/>
    <n v="0"/>
    <n v="0"/>
    <s v="En este primer trimestre no se registró la premiación de ninguno de los concursos y festivales a los cuales tradicionalmente nos postulamos."/>
    <m/>
    <m/>
    <m/>
  </r>
  <r>
    <n v="10"/>
    <s v="PEI"/>
    <s v="3.4.6-COMUNICACIÓN PÚBLICA PARA EL FORTALECIMIENTO DE LA INSTITUCIONALIDAD Y LA CONFIANZA CIUDADANA"/>
    <x v="1"/>
    <x v="0"/>
    <x v="0"/>
    <s v="Horas franja laboratorio de Videopodcast Podcast"/>
    <s v="Emitir horas en la franja laboratorio de Videopodcast Podcast y Videopodcast producidos en Telemedellín"/>
    <s v="Eficiencia"/>
    <s v="Sumatoria de horas emitidas en la franja semanal"/>
    <s v="Trimestral"/>
    <s v="Valor alcanzado en cada trimestre. Si no se evaluó, es cero &quot;0&quot;"/>
    <n v="348"/>
    <n v="6.6E-3"/>
    <n v="76"/>
    <m/>
    <m/>
    <m/>
    <n v="76"/>
    <s v="Suma"/>
    <n v="0.21839080459770116"/>
    <n v="1.4413793103448278E-3"/>
    <s v="Vamos cumpliendo con la meta en el primer trimestre del año, tanto en la producción de proyectos propios, como en la franja de Laboratorio Podcast."/>
    <m/>
    <m/>
    <m/>
  </r>
  <r>
    <n v="11"/>
    <s v="PEI"/>
    <s v="3.4.6-COMUNICACIÓN PÚBLICA PARA EL FORTALECIMIENTO DE LA INSTITUCIONALIDAD Y LA CONFIANZA CIUDADANA"/>
    <x v="1"/>
    <x v="0"/>
    <x v="0"/>
    <s v="Proyectos Podcast y Videopodcast"/>
    <s v="Medir los proyectos Podcast y Videopodcast producidos en Telemedellín"/>
    <s v="Eficiencia"/>
    <s v="Sumatoria de contenidos producidos"/>
    <s v="Trimestral"/>
    <s v="Valor alcanzado en cada trimestre. Si no se evaluó, es cero &quot;0&quot;"/>
    <n v="25"/>
    <n v="6.6E-3"/>
    <n v="6"/>
    <m/>
    <m/>
    <m/>
    <n v="6"/>
    <s v="Suma"/>
    <n v="0.24"/>
    <n v="1.5839999999999999E-3"/>
    <s v="Se ha realizado la producción de 6 proyectos Podcast, entre ellos : Medellín te cuenta_x000a_Medellín Confía_x000a_Medellín Emprende_x000a_Alto Rendimiento_x000a_Fui Baby"/>
    <m/>
    <m/>
    <m/>
  </r>
  <r>
    <n v="12"/>
    <s v="PEI"/>
    <s v="3.4.6-COMUNICACIÓN PÚBLICA PARA EL FORTALECIMIENTO DE LA INSTITUCIONALIDAD Y LA CONFIANZA CIUDADANA"/>
    <x v="0"/>
    <x v="1"/>
    <x v="1"/>
    <s v="Engagement redes sociales"/>
    <s v="Medir el engagement de las diferentes redes sociales"/>
    <s v="Eficacia"/>
    <s v="∑(seguidores de red n x engagement de red n) / ∑seguidores de las redes"/>
    <s v="Trimestral"/>
    <s v="Valor ACUMULADO en el trimestre de evaluación."/>
    <n v="8.0000000000000002E-3"/>
    <n v="2.6499999999999999E-2"/>
    <n v="3.9600000000000003E-2"/>
    <m/>
    <m/>
    <m/>
    <n v="0"/>
    <s v="Final año"/>
    <n v="0"/>
    <n v="0"/>
    <s v="El Engagement Rate del 3,96% se debe a que el volumen masivo de alcance de YouTube (que supera los 160 millones de vistas con interacciones mínimas) diluye el altísimo rendimiento de Instagram, promediando una cifra que refleja una gran visibilidad de marca pero con una participación de audiencia moderada a nivel global"/>
    <m/>
    <m/>
    <m/>
  </r>
  <r>
    <n v="13"/>
    <s v="PEI"/>
    <s v="3.4.6-COMUNICACIÓN PÚBLICA PARA EL FORTALECIMIENTO DE LA INSTITUCIONALIDAD Y LA CONFIANZA CIUDADANA"/>
    <x v="0"/>
    <x v="1"/>
    <x v="1"/>
    <s v="Seguidores comunidad digital"/>
    <s v="Medir los seguidores en nuestra comunidad digital"/>
    <s v="Efectividad"/>
    <s v="Sumatoria de todos los seguidores y suscriptores de las redes sociales"/>
    <s v="Trimestral"/>
    <s v="Valor ACUMULADO en el trimestre de evaluación."/>
    <n v="4500000"/>
    <n v="2.6000000000000002E-2"/>
    <n v="5339124"/>
    <m/>
    <m/>
    <m/>
    <n v="0"/>
    <s v="Final año"/>
    <n v="0"/>
    <n v="0"/>
    <s v="Hemos crecido porque tenemos una estrategia de visibilidad (Alcance/Reproducciones) muy potente que está logrando convertir espectadores casuales en seguidores fijos, principalmente en Facebook y Tik Tok."/>
    <m/>
    <m/>
    <m/>
  </r>
  <r>
    <n v="14"/>
    <s v="PEI"/>
    <s v="3.4.6-COMUNICACIÓN PÚBLICA PARA EL FORTALECIMIENTO DE LA INSTITUCIONALIDAD Y LA CONFIANZA CIUDADANA"/>
    <x v="0"/>
    <x v="1"/>
    <x v="1"/>
    <s v="Tiempo de permanencia en la web"/>
    <s v="Medir el tiempo de permanencia en la página web  de Telemedellín"/>
    <s v="Eficiencia"/>
    <s v="Promedio de tiempo de permanencia en la página"/>
    <s v="Trimestral"/>
    <s v="Valor ACUMULADO en el trimestre de evaluación."/>
    <n v="110"/>
    <n v="1.95E-2"/>
    <n v="30"/>
    <m/>
    <m/>
    <m/>
    <n v="0"/>
    <s v="Final año"/>
    <n v="0"/>
    <n v="0"/>
    <s v="Pese a reforzar la producción de contenido en el portal  con el equipo digital de programación el tiempo de retención no fue el esperado. Se proyecta tener contenidos con más información que permita tener más tiempo al lector en el sitio y otras acciones a revisar. "/>
    <m/>
    <m/>
    <m/>
  </r>
  <r>
    <n v="15"/>
    <s v="PEI"/>
    <s v="3.4.6-COMUNICACIÓN PÚBLICA PARA EL FORTALECIMIENTO DE LA INSTITUCIONALIDAD Y LA CONFIANZA CIUDADANA"/>
    <x v="0"/>
    <x v="1"/>
    <x v="1"/>
    <s v="Sesiones en la página web"/>
    <s v="Medir las sesiones en la página web"/>
    <s v="Eficiencia"/>
    <s v="Sumatoria de todos los visitantes en los canales de tráfico al portal"/>
    <s v="Trimestral"/>
    <s v="Valor alcanzado en cada trimestre. Si no se evaluó, es cero &quot;0&quot;"/>
    <n v="25000000"/>
    <n v="2.6000000000000002E-2"/>
    <n v="4021746"/>
    <m/>
    <m/>
    <m/>
    <n v="4021746"/>
    <s v="Suma"/>
    <n v="0.16086983999999999"/>
    <n v="4.1826158399999999E-3"/>
    <s v="En enero se cumplió y pasó la meta mensual, sin embargo en febrero y marzo diferentes situaciones inesperadas marcaron bajas temporales importantes en el equipo que afectaron directamente el tráfico."/>
    <m/>
    <m/>
    <m/>
  </r>
  <r>
    <n v="16"/>
    <s v="PEI"/>
    <s v="3.4.6-COMUNICACIÓN PÚBLICA PARA EL FORTALECIMIENTO DE LA INSTITUCIONALIDAD Y LA CONFIANZA CIUDADANA"/>
    <x v="1"/>
    <x v="1"/>
    <x v="1"/>
    <s v="Plataformas de contenido "/>
    <s v="Medir la cantidad de nuevas plataformas para podcast y contenido transmedia"/>
    <s v="Eficacia"/>
    <s v="Cantidad de nuevas plataformas para podcast y contenido transmedia"/>
    <s v="Trimestral"/>
    <s v="Valor alcanzado en cada trimestre. Si no se evaluó, es cero &quot;0&quot;"/>
    <n v="4"/>
    <n v="1.3000000000000001E-2"/>
    <n v="1"/>
    <m/>
    <m/>
    <m/>
    <n v="1"/>
    <s v="Suma"/>
    <n v="0.25"/>
    <n v="3.2500000000000003E-3"/>
    <s v="Abrimos LinkedIn oficial de Telemedellín después de hacer una planeación importante de cara a la incursión de la marca en un entorno digital enfocado a un público empresarial y más ejecutivo. Acción enmarcada en el proyecto de embajadores, alienado con Dirección de Comunicaciones."/>
    <m/>
    <m/>
    <m/>
  </r>
  <r>
    <n v="17"/>
    <s v="PEI"/>
    <s v="3.4.6-COMUNICACIÓN PÚBLICA PARA EL FORTALECIMIENTO DE LA INSTITUCIONALIDAD Y LA CONFIANZA CIUDADANA"/>
    <x v="0"/>
    <x v="1"/>
    <x v="1"/>
    <s v="Ingresos por plataformas digitales"/>
    <s v="Medir los ingresos económicos por plataformas digitales"/>
    <s v="Eficiencia"/>
    <s v="Sumatoria de la monetización de todas las redes y plataformas del Canal (En dolares USD)"/>
    <s v="Trimestral"/>
    <s v="Valor alcanzado en cada trimestre. Si no se evaluó, es cero &quot;0&quot;"/>
    <n v="50000"/>
    <n v="1.3000000000000001E-2"/>
    <n v="11796"/>
    <m/>
    <m/>
    <m/>
    <n v="11796"/>
    <s v="Suma"/>
    <n v="0.23591999999999999"/>
    <n v="3.0669600000000001E-3"/>
    <s v="Estuvimos 704 dólares por debajo de la meta trimestral pese a que se reanudó la monetización de Facebook. Sin embargo  AdSense y Teads dependen del tiempo de permanencia en la página. Si el usuario solo se queda 30 segundos, es probable que solo vea 1 o 2 anuncios por lo cuál baja la monetización. "/>
    <m/>
    <m/>
    <m/>
  </r>
  <r>
    <n v="18"/>
    <s v="PEI"/>
    <s v="3.4.6-COMUNICACIÓN PÚBLICA PARA EL FORTALECIMIENTO DE LA INSTITUCIONALIDAD Y LA CONFIANZA CIUDADANA"/>
    <x v="0"/>
    <x v="2"/>
    <x v="2"/>
    <s v="Evaluación de imagen de Telemedellín  "/>
    <s v="Evaluar de percepción de favorabilidad de imagen de Telemedellín"/>
    <s v="Eficacia"/>
    <s v="Evaluación de percepción de favorabilidad de imagen de Telemedellín"/>
    <s v="Trimestral"/>
    <s v="Valor alcanzado en cada trimestre. Si no se evaluó, es cero &quot;0&quot;"/>
    <n v="0.8"/>
    <n v="2.6000000000000002E-2"/>
    <n v="0"/>
    <m/>
    <m/>
    <m/>
    <n v="0"/>
    <s v="Máximo"/>
    <n v="0"/>
    <n v="0"/>
    <s v="La evaluación de la percepción de favorabilidad de la imagen de Telemedellín se obtiene a partir de los resultados de la encuesta “Medellín Cómo Vamos”, la cual se realiza entre el tercer y cuarto trimestre del año. Este insumo permite contar con una medición externa y objetiva sobre la percepción ciudadana frente al canal."/>
    <m/>
    <m/>
    <m/>
  </r>
  <r>
    <n v="19"/>
    <s v="PEI"/>
    <s v="3.4.6-COMUNICACIÓN PÚBLICA PARA EL FORTALECIMIENTO DE LA INSTITUCIONALIDAD Y LA CONFIANZA CIUDADANA"/>
    <x v="0"/>
    <x v="2"/>
    <x v="2"/>
    <s v="Embajadores de marca"/>
    <s v="Evaluar la Participación de líderes de opinión en tácticas de relacionamiento. "/>
    <s v="Eficiencia"/>
    <s v="Sumatoria de participantes en la estrategia embajadores de marca"/>
    <s v="Trimestral"/>
    <s v="Valor alcanzado en cada trimestre. Si no se evaluó, es cero &quot;0&quot;"/>
    <n v="4"/>
    <n v="1.3000000000000001E-2"/>
    <n v="0"/>
    <m/>
    <m/>
    <m/>
    <n v="0"/>
    <s v="Suma"/>
    <n v="0"/>
    <n v="0"/>
    <s v="Durante el primer semestre se está desarrollando la estrategia de Embajadores de Marca, con el objetivo de consolidar su implementación en los próximos meses y potenciar su impacto en el posicionamiento y la conexión con las audiencias._x000a__x000a_"/>
    <m/>
    <m/>
    <m/>
  </r>
  <r>
    <n v="20"/>
    <s v="PEI"/>
    <s v="3.4.6-COMUNICACIÓN PÚBLICA PARA EL FORTALECIMIENTO DE LA INSTITUCIONALIDAD Y LA CONFIANZA CIUDADANA"/>
    <x v="0"/>
    <x v="2"/>
    <x v="2"/>
    <s v="Visitantes Tour Telemedellín"/>
    <s v="Medir el número de visitantes al Tour Telemedellín"/>
    <s v="Eficacia"/>
    <s v="Sumatoria de visitantes anuales al Tour Telemedellín."/>
    <s v="Trimestral"/>
    <s v="Valor alcanzado en cada trimestre. Si no se evaluó, es cero &quot;0&quot;"/>
    <n v="10000"/>
    <n v="1.3000000000000001E-2"/>
    <n v="700"/>
    <m/>
    <m/>
    <m/>
    <n v="700"/>
    <s v="Suma"/>
    <n v="7.0000000000000007E-2"/>
    <n v="9.1000000000000022E-4"/>
    <s v="En el primer trimestre del año se registraron 700 ingresos al tour. Este comportamiento estuvo influenciado por la temporada académica, ya que durante el primer mes los estudiantes se encontraban en vacaciones, lo que redujo el flujo habitual de visitas. Si bien no es un factor determinante, sí incidió en la dinámica de asistencia durante este periodo._x000a__x000a_Evidencias: https://drive.google.com/drive/folders/1DwXh7tmfqNvtLdj1E2lks27Vr4R5oW-E?usp=drive_link"/>
    <m/>
    <m/>
    <m/>
  </r>
  <r>
    <n v="21"/>
    <s v="PEI"/>
    <s v="3.4.6-COMUNICACIÓN PÚBLICA PARA EL FORTALECIMIENTO DE LA INSTITUCIONALIDAD Y LA CONFIANZA CIUDADANA"/>
    <x v="0"/>
    <x v="2"/>
    <x v="2"/>
    <s v="Experiencias temáticas en el parque Telemedellín"/>
    <s v="Medir el numero de eventos propios realizados en el parque."/>
    <s v="Eficacia"/>
    <s v="Sumatoria de eventos propios realizados en el Parque"/>
    <s v="Trimestral"/>
    <s v="Valor alcanzado en cada trimestre. Si no se evaluó, es cero &quot;0&quot;"/>
    <n v="14"/>
    <n v="1.3000000000000001E-2"/>
    <n v="3"/>
    <m/>
    <m/>
    <m/>
    <n v="3"/>
    <s v="Suma"/>
    <n v="0.21428571428571427"/>
    <n v="2.7857142857142859E-3"/>
    <s v="Para el indicador “Medir el número de eventos propios realizados en el parque”, durante el primer trimestre se llevaron a cabo tres (3) eventos. Estos corresponden a la participación en la Ciclovía de la Av. El Poblado y a dos jornadas de Telemedellín en mi barrio, realizadas en San Sebastián de Palmitas y Boston, evidenciando la presencia del canal en el territorio y su articulación con la comunidad._x000a__x000a_Evidencias: https://drive.google.com/drive/folders/1DwXh7tmfqNvtLdj1E2lks27Vr4R5oW-E?usp=drive_link"/>
    <m/>
    <m/>
    <m/>
  </r>
  <r>
    <n v="22"/>
    <s v="PEI"/>
    <s v="3.4.6-COMUNICACIÓN PÚBLICA PARA EL FORTALECIMIENTO DE LA INSTITUCIONALIDAD Y LA CONFIANZA CIUDADANA"/>
    <x v="1"/>
    <x v="3"/>
    <x v="3"/>
    <s v="Inversión en actualización tecnológica"/>
    <s v="Medir la inversión económica en actualización tecnológica"/>
    <s v="Eficiencia"/>
    <s v="Sumatoria inversión económica en actualización tecnológica"/>
    <s v="Trimestral"/>
    <s v="Valor alcanzado en cada trimestre. Si no se evaluó, es cero &quot;0&quot;"/>
    <n v="1500000000"/>
    <n v="3.2500000000000001E-2"/>
    <n v="46503000"/>
    <m/>
    <m/>
    <m/>
    <n v="46503000"/>
    <s v="Suma"/>
    <n v="3.1001999999999998E-2"/>
    <n v="1.007565E-3"/>
    <s v="Se han venido ejecutando los proyectos de acuerod al plan de inversiones del 2026"/>
    <m/>
    <m/>
    <m/>
  </r>
  <r>
    <n v="23"/>
    <s v="PEI"/>
    <s v="3.4.6-COMUNICACIÓN PÚBLICA PARA EL FORTALECIMIENTO DE LA INSTITUCIONALIDAD Y LA CONFIANZA CIUDADANA"/>
    <x v="1"/>
    <x v="3"/>
    <x v="3"/>
    <s v="Proyectos 4RI"/>
    <s v="Medir los proyectos que involucren los componentes de la cuarta revolución industrial."/>
    <s v="Eficacia"/>
    <s v="Proyectos que involucren los componentes de la cuarta revolución industrial"/>
    <s v="Trimestral"/>
    <s v="Valor alcanzado en cada trimestre. Si no se evaluó, es cero &quot;0&quot;"/>
    <n v="2"/>
    <n v="1.3000000000000001E-2"/>
    <n v="0"/>
    <m/>
    <m/>
    <m/>
    <n v="0"/>
    <s v="Suma"/>
    <n v="0"/>
    <n v="0"/>
    <s v="Se vienen adelantando 2 proyectos de Inteleigencia artificial"/>
    <m/>
    <m/>
    <m/>
  </r>
  <r>
    <n v="24"/>
    <s v="PEI"/>
    <s v="3.4.6-COMUNICACIÓN PÚBLICA PARA EL FORTALECIMIENTO DE LA INSTITUCIONALIDAD Y LA CONFIANZA CIUDADANA"/>
    <x v="1"/>
    <x v="3"/>
    <x v="3"/>
    <s v="Horas en el satélite"/>
    <s v="Emitir horas en el satélite"/>
    <s v="Eficiencia"/>
    <s v="Sumatoria de horas al aíre en el satélite"/>
    <s v="Trimestral"/>
    <s v="Valor alcanzado en cada trimestre. Si no se evaluó, es cero &quot;0&quot;"/>
    <n v="8600"/>
    <n v="1.3000000000000001E-2"/>
    <n v="2160"/>
    <m/>
    <m/>
    <m/>
    <n v="2160"/>
    <s v="Suma"/>
    <n v="0.25116279069767444"/>
    <n v="3.2651162790697679E-3"/>
    <s v="La señal de satelite no presnto novedades en el periodo"/>
    <m/>
    <m/>
    <m/>
  </r>
  <r>
    <n v="25"/>
    <s v="PEI"/>
    <s v="3.4.6-COMUNICACIÓN PÚBLICA PARA EL FORTALECIMIENTO DE LA INSTITUCIONALIDAD Y LA CONFIANZA CIUDADANA"/>
    <x v="1"/>
    <x v="3"/>
    <x v="3"/>
    <s v="Proyectos ejecutados de transformación digital"/>
    <s v="Medir los proyectos ejecutados de transformación digital"/>
    <s v="Eficacia"/>
    <s v="Proyectos ejecutados de transformación digital"/>
    <s v="Trimestral"/>
    <s v="Valor alcanzado en cada trimestre. Si no se evaluó, es cero &quot;0&quot;"/>
    <n v="15"/>
    <n v="2.6000000000000002E-2"/>
    <n v="0"/>
    <m/>
    <m/>
    <m/>
    <n v="0"/>
    <s v="Suma"/>
    <n v="0"/>
    <n v="0"/>
    <s v="Se vienen adelantando varios proyectos de transformación digital"/>
    <m/>
    <m/>
    <m/>
  </r>
  <r>
    <n v="26"/>
    <s v="PEI"/>
    <s v="3.4.6-COMUNICACIÓN PÚBLICA PARA EL FORTALECIMIENTO DE LA INSTITUCIONALIDAD Y LA CONFIANZA CIUDADANA"/>
    <x v="0"/>
    <x v="4"/>
    <x v="0"/>
    <s v="Talleres realizados TM Academy"/>
    <s v="Medir los talleres realizados."/>
    <s v="Eficacia"/>
    <s v="Sumatoria de talleres realizados"/>
    <s v="Trimestral"/>
    <s v="Valor alcanzado en cada trimestre. Si no se evaluó, es cero &quot;0&quot;"/>
    <n v="14"/>
    <n v="1.3000000000000001E-2"/>
    <n v="0"/>
    <m/>
    <m/>
    <m/>
    <n v="0"/>
    <s v="Suma"/>
    <n v="0"/>
    <n v="0"/>
    <s v="En el primer trimestre no se han elaborado talleres Academy, se tiene proyectado comenzar con estos talleres en el segundo trimestre del año."/>
    <m/>
    <m/>
    <m/>
  </r>
  <r>
    <n v="27"/>
    <s v="PEI"/>
    <s v="3.4.6-COMUNICACIÓN PÚBLICA PARA EL FORTALECIMIENTO DE LA INSTITUCIONALIDAD Y LA CONFIANZA CIUDADANA"/>
    <x v="0"/>
    <x v="4"/>
    <x v="0"/>
    <s v="Asistentes Talleres TM Academy"/>
    <s v="Medir los asistentes actividades TM Academy."/>
    <s v="Eficacia"/>
    <s v="Sumatoria de personas asistentes a las actividades"/>
    <s v="Trimestral"/>
    <s v="Valor alcanzado en cada trimestre. Si no se evaluó, es cero &quot;0&quot;"/>
    <n v="300"/>
    <n v="1.95E-2"/>
    <n v="0"/>
    <m/>
    <m/>
    <m/>
    <n v="0"/>
    <s v="Suma"/>
    <n v="0"/>
    <n v="0"/>
    <s v="En el primer trimestre no se han elaborado talleres Academy, se tiene proyectado comenzar con estos talleres en el segundo trimestre del año."/>
    <m/>
    <m/>
    <m/>
  </r>
  <r>
    <n v="28"/>
    <s v="PEI"/>
    <s v="3.4.6-COMUNICACIÓN PÚBLICA PARA EL FORTALECIMIENTO DE LA INSTITUCIONALIDAD Y LA CONFIANZA CIUDADANA"/>
    <x v="0"/>
    <x v="4"/>
    <x v="0"/>
    <s v="Contenidos producidos de TM Academy"/>
    <s v="Medir los contenidos audiovisuales TM Academy. "/>
    <s v="Eficiencia"/>
    <s v="Sumatoria de contenidos audiovisuales realizados"/>
    <s v="Trimestral"/>
    <s v="Valor alcanzado en cada trimestre. Si no se evaluó, es cero &quot;0&quot;"/>
    <n v="12"/>
    <n v="1.3000000000000001E-2"/>
    <n v="0"/>
    <m/>
    <m/>
    <m/>
    <n v="0"/>
    <s v="Suma"/>
    <n v="0"/>
    <n v="0"/>
    <s v="En el primer trimestre no se han elaborado talleres Academy, se tiene proyectado comenzar con estos talleres en el segundo trimestre del año."/>
    <m/>
    <m/>
    <m/>
  </r>
  <r>
    <n v="29"/>
    <s v="PEI"/>
    <s v="3.4.6-COMUNICACIÓN PÚBLICA PARA EL FORTALECIMIENTO DE LA INSTITUCIONALIDAD Y LA CONFIANZA CIUDADANA"/>
    <x v="0"/>
    <x v="4"/>
    <x v="4"/>
    <s v="Sostenibilidad y Compromiso Social TM"/>
    <s v="Medir las actividades de sostenibilidad y compromiso social"/>
    <s v="Eficacia"/>
    <s v="Sumatoria de actividades de sostenibilidad y compromiso social"/>
    <s v="Trimestral"/>
    <s v="Valor alcanzado en cada trimestre. Si no se evaluó, es cero &quot;0&quot;"/>
    <n v="5"/>
    <n v="1.95E-2"/>
    <n v="1"/>
    <m/>
    <m/>
    <m/>
    <n v="1"/>
    <s v="Suma"/>
    <n v="0.2"/>
    <n v="3.9000000000000003E-3"/>
    <s v="Durante el primer semestre se realizó con la Dirección de Relaciones Corporativas la entrega de 600 kits escolares en la Institución Educativa La Sierra. Esto bajo la campaña ‘Cumplamos un Sueño con el Tour Telemedellín’ en la que también participaron entidades del sector privado. Para el segundo trimestre se está contemplando más estrategias para implementar desde el canal. "/>
    <m/>
    <m/>
    <m/>
  </r>
  <r>
    <n v="30"/>
    <s v="PEI"/>
    <s v="3.4.6-COMUNICACIÓN PÚBLICA PARA EL FORTALECIMIENTO DE LA INSTITUCIONALIDAD Y LA CONFIANZA CIUDADANA"/>
    <x v="2"/>
    <x v="5"/>
    <x v="5"/>
    <s v="Satisfacción colaboradores de Telemedellín"/>
    <s v="Medir la satisfacción colaboradores de Telemedellín"/>
    <s v="Eficacia"/>
    <s v="% de satisfacción global"/>
    <s v="Trimestral"/>
    <s v="Valor alcanzado en cada trimestre. Si no se evaluó, es cero &quot;0&quot;"/>
    <n v="0.75"/>
    <n v="1.3000000000000001E-2"/>
    <n v="0"/>
    <m/>
    <m/>
    <m/>
    <n v="0"/>
    <s v="Máximo"/>
    <n v="0"/>
    <n v="0"/>
    <s v="La activdidad se realizará en el último Trimestre"/>
    <m/>
    <m/>
    <m/>
  </r>
  <r>
    <n v="31"/>
    <s v="PEI"/>
    <s v="3.4.6-COMUNICACIÓN PÚBLICA PARA EL FORTALECIMIENTO DE LA INSTITUCIONALIDAD Y LA CONFIANZA CIUDADANA"/>
    <x v="2"/>
    <x v="5"/>
    <x v="5"/>
    <s v="Personas impactadas en ruta de la felicidad"/>
    <s v="Medir las personas impactadas con las actividades realizadas"/>
    <s v="Eficacia"/>
    <s v="(Sumatoria de colaboradores que participaron en actividades de bienestar/# de colaboradores totales) x 100 %"/>
    <s v="Trimestral"/>
    <s v="Valor ACUMULADO en el trimestre de evaluación."/>
    <n v="0.85"/>
    <n v="1.3000000000000001E-2"/>
    <n v="1"/>
    <m/>
    <m/>
    <m/>
    <n v="1"/>
    <s v="Máximo"/>
    <n v="1.1764705882352942"/>
    <n v="1.3000000000000001E-2"/>
    <s v="Durante el primer trimestres se han realizado 2 actividades cuya participación fue 100%  (día de la mijer y hombre, día de las profesiones), adicionalmente diferentes actividades han contado con pequeños grupos de la población: _x000a_Charla estilo de vida saludable(7pnas), _x000a_Charla hablilidades blandas (7pnas)_x000a_Charla hábitos saludables(16 pnas)_x000a_Pausas Activas (16 pnas)"/>
    <m/>
    <m/>
    <m/>
  </r>
  <r>
    <n v="32"/>
    <s v="PEI"/>
    <s v="3.4.6-COMUNICACIÓN PÚBLICA PARA EL FORTALECIMIENTO DE LA INSTITUCIONALIDAD Y LA CONFIANZA CIUDADANA"/>
    <x v="2"/>
    <x v="5"/>
    <x v="5"/>
    <s v="Practicantes"/>
    <s v="Medir la contratación practicantes"/>
    <s v="Eficiencia"/>
    <s v="(# de practicantes contratados/sobre # de vacante para practicantes) x 100%"/>
    <s v="Trimestral"/>
    <s v="Valor alcanzado en cada trimestre. Si no se evaluó, es cero &quot;0&quot;"/>
    <n v="0.8"/>
    <n v="1.3000000000000001E-2"/>
    <n v="1"/>
    <m/>
    <m/>
    <m/>
    <n v="1"/>
    <s v="Promedio"/>
    <n v="1.25"/>
    <n v="1.3000000000000001E-2"/>
    <s v="Para el primer trimestre del año 2026 se recibieron catorce (14) solicitudes de contratación de practicantes, las cuales fueron atendidas en su totalidad, logrando la vinculación de los catorce (14) practicantes requeridos. Se sobrepaso la meta de 10 practicantes al año_x000a__x000a_De estos, siete (7) pertenecen al área de Contenidos, uno (1) al área de Gestión Humana, cinco (5) al área de Producción y uno (1) a la Agencia TM._x000a__x000a_Se cuenta con la evidencia correspondiente en la matriz de contratación de practicantes 2026 en formato Excel, en la cual se puede verificar el número de contrato de cada práctica, así como la información general asociada a cada vinculación._x000a__x000a_En consecuencia, se alcanzó un cumplimiento del 100% frente a las solicitudes recibidas."/>
    <m/>
    <m/>
    <m/>
  </r>
  <r>
    <n v="33"/>
    <s v="PEI"/>
    <s v="3.4.6-COMUNICACIÓN PÚBLICA PARA EL FORTALECIMIENTO DE LA INSTITUCIONALIDAD Y LA CONFIANZA CIUDADANA"/>
    <x v="3"/>
    <x v="6"/>
    <x v="4"/>
    <s v="Utilidad antes de impuesto"/>
    <s v="Evaluar la utilidad antes de impuesto"/>
    <s v="Eficiencia"/>
    <s v="Resultado de la utilidad antes de impuesto"/>
    <s v="Trimestral"/>
    <s v="Valor ACUMULADO en el trimestre de evaluación."/>
    <s v="&gt;0"/>
    <n v="6.5000000000000006E-3"/>
    <n v="-3472430813"/>
    <m/>
    <m/>
    <m/>
    <n v="0"/>
    <s v="Final año"/>
    <n v="0"/>
    <n v="0"/>
    <s v="Al cierre del primer trimestre de 2026, Telemedellín presenta un déficit acumulado de -$3.472M, resultado coherente con la estacionalidad del primer trimestre, donde los costos de producción se ejecutan antes de completar el ciclo de facturación. Los ingresos crecieron gracias a nuevos contratos y mayores transferencias, mientras que los costos aumentaron por mayor actividad operativa, especialmente en publicidad y producción. Se espera que el déficit se revierta a medida que avance la facturación, con la meta evaluada al cierre del año."/>
    <m/>
    <m/>
    <m/>
  </r>
  <r>
    <n v="34"/>
    <s v="PEI"/>
    <s v="3.4.6-COMUNICACIÓN PÚBLICA PARA EL FORTALECIMIENTO DE LA INSTITUCIONALIDAD Y LA CONFIANZA CIUDADANA"/>
    <x v="3"/>
    <x v="6"/>
    <x v="4"/>
    <s v="Margen utilidad bruta"/>
    <s v="Evaluar el margen utilidad bruta"/>
    <s v="Eficiencia"/>
    <s v="(Utilidad operacional / Ingresos netos) x 100%"/>
    <s v="Trimestral"/>
    <s v="Valor ACUMULADO en el trimestre de evaluación."/>
    <s v="&gt;28%"/>
    <n v="6.5000000000000006E-3"/>
    <n v="-0.74876081381568338"/>
    <m/>
    <m/>
    <m/>
    <n v="0"/>
    <s v="Final año"/>
    <n v="0"/>
    <n v="0"/>
    <s v="El margen de utilidad bruta se ubica en -74,9% al primer trimestre de 2026, resultado típico del primer trimestre donde los costos de producción superan los ingresos facturados. Los ingresos crecieron significativamente, al igual que los costos y los gastos, principalmente por los costos anticipados del contrato de publicidad y el aumento del personal de producción. Este patrón es similar a años anteriores y se espera una normalización hacia la meta anual conforme avance la facturación."/>
    <m/>
    <m/>
    <m/>
  </r>
  <r>
    <n v="35"/>
    <s v="PEI"/>
    <s v="3.4.6-COMUNICACIÓN PÚBLICA PARA EL FORTALECIMIENTO DE LA INSTITUCIONALIDAD Y LA CONFIANZA CIUDADANA"/>
    <x v="3"/>
    <x v="6"/>
    <x v="4"/>
    <s v="Gastos de funcionamiento"/>
    <s v="Evaluar la ejecución de gastos de funcionamiento"/>
    <s v="Eficiencia"/>
    <s v="(Gastos/ Ingresos netos) x 100%"/>
    <s v="Trimestral"/>
    <s v="Valor ACUMULADO en el trimestre de evaluación."/>
    <s v="&lt;25%"/>
    <n v="6.5000000000000006E-3"/>
    <n v="0.39569333391639178"/>
    <m/>
    <m/>
    <m/>
    <n v="0.39569333391639178"/>
    <s v="Final año"/>
    <n v="0.65707450117149768"/>
    <n v="4.2709842576147353E-3"/>
    <s v="Al cierre del primer trimestre, el indicador de gastos de funcionamiento se ubica por encima de la meta establecida, evidenciando un nivel de gastos significativamente superior en relación con los ingresos netos. Este resultado refleja una baja eficiencia en el periodo, influenciada por la dinámica del inicio de la vigencia, donde los ingresos aún no se han consolidado plenamente mientras los gastos mantienen su ejecución._x000a__x000a_Se espera que, con la consolidación de los ingresos en los próximos trimestres, el indicador mejore progresivamente y se acerque al cumplimiento del objetivo al cierre de la vigencia."/>
    <m/>
    <m/>
    <m/>
  </r>
  <r>
    <n v="36"/>
    <s v="PEI"/>
    <s v="3.4.6-COMUNICACIÓN PÚBLICA PARA EL FORTALECIMIENTO DE LA INSTITUCIONALIDAD Y LA CONFIANZA CIUDADANA"/>
    <x v="3"/>
    <x v="6"/>
    <x v="4"/>
    <s v="Ejecución de ingresos"/>
    <s v="Medir la ejecución de ingresos"/>
    <s v="Eficiencia"/>
    <s v="(Ingresos ejecutados / Ingresos presupuestados) x 100%"/>
    <s v="Trimestral"/>
    <s v="Valor ACUMULADO en el trimestre de evaluación."/>
    <s v="&gt;98%"/>
    <n v="4.2500000000000003E-3"/>
    <n v="0.18465040309222924"/>
    <m/>
    <m/>
    <m/>
    <n v="0"/>
    <s v="Final año"/>
    <n v="0"/>
    <n v="0"/>
    <s v="Ejecución baja en relación a los gastos, pero que corresponde con el comportamiento histórico de los ingresos, dado que la ejecución de los contratos de administración delegada y prestación de servicio comienzan en su mayoría en el segundo semestre del año. Si bien para el primer semestre se han firmado adiciones de contratos que pasaron de vigencia y se han firmado contratos nuevos por valor de $18.433 millones. Con corte a marzo hay cuentas por cobrar por $5.278 millones"/>
    <m/>
    <m/>
    <m/>
  </r>
  <r>
    <n v="37"/>
    <s v="PEI"/>
    <s v="3.4.6-COMUNICACIÓN PÚBLICA PARA EL FORTALECIMIENTO DE LA INSTITUCIONALIDAD Y LA CONFIANZA CIUDADANA"/>
    <x v="3"/>
    <x v="6"/>
    <x v="4"/>
    <s v="Ejecución de egresos"/>
    <s v="Medir la ejecución de egresos"/>
    <s v="Eficiencia"/>
    <s v="(Egresos ejecutados / egresos presupuestados) x 100%"/>
    <s v="Trimestral"/>
    <s v="Valor ACUMULADO en el trimestre de evaluación."/>
    <s v="&gt;90%"/>
    <n v="4.2500000000000003E-3"/>
    <n v="0.49873501472133069"/>
    <m/>
    <m/>
    <m/>
    <n v="0"/>
    <s v="Final año"/>
    <n v="0"/>
    <n v="0"/>
    <s v="Se han comprometido recursos para contratos de cuantías altas tales como la empresa de servicios para la contratación de personal temporal,  adicional a que por ley de garantías se debió contratar al personal desde el mes de enero con el fin de garantizar el funcionamiento del Canal en el primer semenstre."/>
    <m/>
    <m/>
    <m/>
  </r>
  <r>
    <n v="38"/>
    <s v="PEI"/>
    <s v="3.4.6-COMUNICACIÓN PÚBLICA PARA EL FORTALECIMIENTO DE LA INSTITUCIONALIDAD Y LA CONFIANZA CIUDADANA"/>
    <x v="3"/>
    <x v="6"/>
    <x v="4"/>
    <s v="Ejecución de la inversión"/>
    <s v="Medir la ejecución de la inversión"/>
    <s v="Eficiencia"/>
    <s v="(Egresos ejecutados de inversión / egresos presupuestados de inversión) x 100%"/>
    <s v="Trimestral"/>
    <s v="Valor ACUMULADO en el trimestre de evaluación."/>
    <s v="&gt;90%"/>
    <n v="6.5000000000000006E-3"/>
    <n v="0.7512630082752777"/>
    <m/>
    <m/>
    <m/>
    <n v="0"/>
    <s v="Final año"/>
    <n v="0"/>
    <n v="0"/>
    <s v="Se han comprometido recursos para contratos de cuantías altas tales como la empresa de servicios para la contratación de personal temporal, transporte y alimentación,  adicional a que por ley de garantías se debió contratar al personal desde el mes de enero con el fin de garantizar el funcionamiento del Canal en el primer semenstre."/>
    <m/>
    <m/>
    <m/>
  </r>
  <r>
    <n v="39"/>
    <s v="PEI"/>
    <s v="3.4.6-COMUNICACIÓN PÚBLICA PARA EL FORTALECIMIENTO DE LA INSTITUCIONALIDAD Y LA CONFIANZA CIUDADANA"/>
    <x v="4"/>
    <x v="6"/>
    <x v="6"/>
    <s v="Ingresos por contratos"/>
    <s v="Medir los ingresos por contratos efectivos de cada vigencia"/>
    <s v="Eficacia"/>
    <s v="Sumatoria de los ingresos por contratos cada vigencia (Firmados)"/>
    <s v="Trimestral"/>
    <s v="Valor alcanzado en cada trimestre. Si no se evaluó, es cero &quot;0&quot;"/>
    <n v="37500000000"/>
    <n v="1.95E-2"/>
    <n v="18506753270"/>
    <m/>
    <m/>
    <m/>
    <n v="18506753270"/>
    <s v="Suma"/>
    <n v="0.49351342053333336"/>
    <n v="9.6235117003999997E-3"/>
    <s v="Ingresos por contratos (Valor alcanzado: $18.506.753.270 | 49,4% de la meta)_x000a_Contratos firmados y en ejecución. _x000a_Central Medios: $14.664.550.878. _x000a_Negocios Audiovisuales: $3.768.449.437. _x000a_Pauta: $73.752.955. _x000a_A 31 de marzo de 2025 se tenía una cifra de contratos firmados y en ejecución por $12.403 millones de pesos; para 2026 se tiene un crecimiento del 51,7%. Teniendo en cuenta la Ley de Garantías, se avanzó según lo planeado de tener firmado alrededor del 50% de la meta general para la vigencia."/>
    <m/>
    <m/>
    <m/>
  </r>
  <r>
    <n v="40"/>
    <s v="PEI"/>
    <s v="3.4.6-COMUNICACIÓN PÚBLICA PARA EL FORTALECIMIENTO DE LA INSTITUCIONALIDAD Y LA CONFIANZA CIUDADANA"/>
    <x v="5"/>
    <x v="6"/>
    <x v="6"/>
    <s v="Clientes satisfechos"/>
    <s v="Medir la satisfacción de clientes de negocios y experiencias_x000a_"/>
    <s v="Eficacia"/>
    <s v="(Clientes satisfechos / Clientes encuestados) x 100%"/>
    <s v="Trimestral"/>
    <s v="Valor alcanzado en cada trimestre. Si no se evaluó, es cero &quot;0&quot;"/>
    <n v="0.82"/>
    <n v="6.4999999999999997E-3"/>
    <n v="0.9"/>
    <m/>
    <m/>
    <m/>
    <n v="0.9"/>
    <s v="Máximo"/>
    <n v="1.0975609756097562"/>
    <n v="6.4999999999999997E-3"/>
    <s v="Clientes satisfechos (Valor alcanzado: 88,3% | 107,7% de la meta)_x000a_Para el primer trimestre se registró un nivel de satisfacción de clientes de negocios y experiencias del 88,3%, superando la meta del 82%. Este resultado refleja una gestión comercial y de servicio al cliente sólida en el inicio de la vigencia._x000a__x000a_El promedio global de satisfacción del trimestre fue de 4.42 sobre 5.00_x000a__x000a_El 66,7% de todas las calificaciones fueron 5 lo que refleja un alto nivel de conformidad con los servicios. _x000a_Resultados por dimensión evaluada:_x000a__x0009_•_x0009_Satisfacción general con los servicios: 4.42 / 5 — 88%_x000a__x0009_•_x0009_Experiencia general con la Agencia: 4.33 / 5 — 86%_x000a__x0009_•_x0009_Comunicación del equipo: 4.75 / 5 — 91%_x000a__x0009_•_x0009_Calidad de productos y/o servicios: 4.67 / 5 — 91%_x000a__x0009_•_x0009_Plazos de entrega: 4.50 / 5 — 90%_x000a__x0009_•_x0009_Probabilidad de recomendar: 4.33 / 5 — 86.7%_x000a__x0009_•_x0009_Probabilidad de volver a usar los servicios: 4.58 / 5 — 91.7%_x000a__x000a_Fortalezas: comunicación, calidad y recompra (91.7/) sostiene la relación y confianza. _x000a_Sólo 1 cliente insatisfecho, el impacto porentual es alto, no es un problema estructural sino focalizado a gestionar _x000a__x000a_"/>
    <m/>
    <m/>
    <m/>
  </r>
  <r>
    <n v="41"/>
    <s v="PEI"/>
    <s v="3.4.6-COMUNICACIÓN PÚBLICA PARA EL FORTALECIMIENTO DE LA INSTITUCIONALIDAD Y LA CONFIANZA CIUDADANA"/>
    <x v="4"/>
    <x v="6"/>
    <x v="6"/>
    <s v="Nuevos productos y experiencias  "/>
    <s v="Desarrollar nuevos productos y experiencias  "/>
    <s v="Eficacia"/>
    <s v="Sumatoria de nuevos servicios y experiencias desarrollados y operando"/>
    <s v="Trimestral"/>
    <s v="Valor alcanzado en cada trimestre. Si no se evaluó, es cero &quot;0&quot;"/>
    <n v="1"/>
    <n v="6.5000000000000006E-3"/>
    <n v="1"/>
    <m/>
    <m/>
    <m/>
    <n v="1"/>
    <s v="Suma"/>
    <n v="1"/>
    <n v="6.5000000000000006E-3"/>
    <s v="Se desarrolló un paquete diferencial para presencia comercial 360 para marcas en el Mundial de Fútbol 2026. El plan involucra desarrollos a la medida con IA, TV y digital."/>
    <m/>
    <m/>
    <m/>
  </r>
  <r>
    <n v="42"/>
    <s v="PEI"/>
    <s v="3.4.6-COMUNICACIÓN PÚBLICA PARA EL FORTALECIMIENTO DE LA INSTITUCIONALIDAD Y LA CONFIANZA CIUDADANA"/>
    <x v="4"/>
    <x v="6"/>
    <x v="6"/>
    <s v="Utilidad general Agencia y central de medios"/>
    <s v="Evaluar la utilidad neta de negocios y experiencias TM_x000a_"/>
    <s v="Eficiencia"/>
    <s v="(Ingresos/(costos más gastos) -1) * 100%"/>
    <s v="Trimestral"/>
    <s v="Valor ACUMULADO en el trimestre de evaluación."/>
    <n v="0.11"/>
    <n v="1.2999999999999999E-2"/>
    <s v="%"/>
    <m/>
    <m/>
    <m/>
    <n v="0"/>
    <s v="Final año"/>
    <n v="0"/>
    <n v="0"/>
    <s v="Este indicador se evidencia una vez finalizado el periodo anual, por lo que no aplica reporte de valor en el primer trimestre."/>
    <m/>
    <m/>
    <m/>
  </r>
  <r>
    <n v="43"/>
    <s v="Plan de acción"/>
    <s v="3.4.6-COMUNICACIÓN PÚBLICA PARA EL FORTALECIMIENTO DE LA INSTITUCIONALIDAD Y LA CONFIANZA CIUDADANA"/>
    <x v="4"/>
    <x v="6"/>
    <x v="6"/>
    <s v="Ingresos por línea de Agencia -Central de Medios (Administración delegada)"/>
    <s v="Medir los ingresos efectivos por la línea de agencia - Contratos administración Delegada"/>
    <s v="Eficacia"/>
    <s v="Sumatoria de los ingresos  por contratos efectivos  línea de agencia cada vigencia (Facturados)"/>
    <s v="Trimestral"/>
    <s v="Valor alcanzado en cada trimestre. Si no se evaluó, es cero &quot;0&quot;"/>
    <n v="27910000000"/>
    <n v="2.856E-3"/>
    <n v="11352243866"/>
    <m/>
    <m/>
    <m/>
    <n v="11352243866"/>
    <s v="Suma"/>
    <n v="0.40674467452525975"/>
    <n v="1.1616627904441419E-3"/>
    <s v="Ingresos por línea de Agencia – Central de Medios (Administración delegada) (Valor alcanzado: $11.352.243.866 | 40,7% de la meta)_x000a__x000a_Hace relación a la facturación neta de los contratos, la cual corresponde a recursos a administrar, honorarios y Contratos de Prestación de Servicios. _x000a__x000a_Recursos Admin (Terminales, Concejo, Sec. Seguridad, Sec. Comunicaciones, Sec. Desarrollo Económico, Dep. Planeación, Contraloría, Área Metropolitana): $10.714.090.855. _x000a__x000a_Autofacturas (Terminales, Sec. Seguridad, Sec. Comunicaciones): $26.556.449 — este valor se muestra como gestión pero no se suma al valor alcanzado, dado que el dinero se descuenta del recurso a administrar. _x000a__x000a_Honorarios (Área Metropolitana, Sec. Comunicaciones, Terminales, Sec. Seguridad): $31.812.058. _x000a__x000a_Contratos de prestación de servicios (Bureau, Munic. Envigado): $606.340.953."/>
    <m/>
    <m/>
    <m/>
  </r>
  <r>
    <n v="44"/>
    <s v="Plan de acción"/>
    <s v="3.4.6-COMUNICACIÓN PÚBLICA PARA EL FORTALECIMIENTO DE LA INSTITUCIONALIDAD Y LA CONFIANZA CIUDADANA"/>
    <x v="4"/>
    <x v="6"/>
    <x v="6"/>
    <s v="Ingresos por línea de incentivos publicitarios"/>
    <s v="Medir los ingresos efectivos por la línea de incentivos publicitarios"/>
    <s v="Eficacia"/>
    <s v="Sumatoria de los ingresos por línea incentivos publicitarios cada vigencia (Facturados)"/>
    <s v="Trimestral"/>
    <s v="Valor alcanzado en cada trimestre. Si no se evaluó, es cero &quot;0&quot;"/>
    <n v="550000000"/>
    <n v="3.0000000000000001E-3"/>
    <n v="1547702"/>
    <m/>
    <m/>
    <m/>
    <n v="1547702"/>
    <s v="Suma"/>
    <n v="2.8140036363636365E-3"/>
    <n v="8.4420109090909098E-6"/>
    <s v="Hace relación a los incentivos facturados en la presente vigencia correspondientes a Contratistas que, con el propósito de fortalecer los vínculos comerciales y de negociación, otorgan comisión por la ordenación asignada. Esto permite alinear la estrategia comercial y tomar decisiones adecuadas para avanzar de manera conjunta en proyectos y objetivos. El bajo registro obedece al inicio de vigencia y a la dinámica propia del ciclo de los contratos."/>
    <m/>
    <m/>
    <m/>
  </r>
  <r>
    <n v="45"/>
    <s v="Plan de acción"/>
    <s v="3.4.6-COMUNICACIÓN PÚBLICA PARA EL FORTALECIMIENTO DE LA INSTITUCIONALIDAD Y LA CONFIANZA CIUDADANA"/>
    <x v="4"/>
    <x v="6"/>
    <x v="6"/>
    <s v="Ingresos por línea alquiler de espacios y experiencias propias"/>
    <s v="Medir los ingresos efectivos por la línea de alquiler de espacios"/>
    <s v="Eficacia"/>
    <s v="Sumatoria de los ingresos por línea de alquiler de espacios y experiencias propias (Facturados)"/>
    <s v="Trimestral"/>
    <s v="Valor alcanzado en cada trimestre. Si no se evaluó, es cero &quot;0&quot;"/>
    <n v="1000000000"/>
    <n v="3.0000000000000001E-3"/>
    <n v="68113666"/>
    <m/>
    <m/>
    <m/>
    <n v="68113666"/>
    <s v="Suma"/>
    <n v="6.8113666000000003E-2"/>
    <n v="2.0434099800000001E-4"/>
    <s v="Ingresos por línea de alquiler de espacios y experiencias propias (Valor alcanzado: $68.113.666 | 6,8% de la meta)_x000a_Hace relación a lo facturado por alquiler de los diferentes espacios de Telemedellín. El avance del primer trimestre representa el inicio de actividad en este frente; se espera mayor dinamismo a lo largo de la vigencia conforme se activen más eventos y experiencias en el parque."/>
    <m/>
    <m/>
    <m/>
  </r>
  <r>
    <n v="46"/>
    <s v="Plan de acción"/>
    <s v="3.4.6-COMUNICACIÓN PÚBLICA PARA EL FORTALECIMIENTO DE LA INSTITUCIONALIDAD Y LA CONFIANZA CIUDADANA"/>
    <x v="4"/>
    <x v="6"/>
    <x v="6"/>
    <s v="Ingresos por línea de servicios audiovisuales"/>
    <s v="Medir los ingresos efectivos por la línea de servicios audiovisuales"/>
    <s v="Eficacia"/>
    <s v="Sumatoria de los ingresos por línea de servicios audiovisuales  (Facturados)"/>
    <s v="Trimestral"/>
    <s v="Valor alcanzado en cada trimestre. Si no se evaluó, es cero &quot;0&quot;"/>
    <n v="9800000000"/>
    <n v="2.856E-3"/>
    <n v="390233730"/>
    <m/>
    <m/>
    <m/>
    <n v="390233730"/>
    <s v="Suma"/>
    <n v="3.9819768367346936E-2"/>
    <n v="1.1372525845714285E-4"/>
    <s v="Ingresos por línea de servicios audiovisuales (Valor alcanzado: $390.233.730 | 3,98% de la meta)_x000a__x000a_Hace relación a lo facturado por ejecución de contratos y otros servicios en la presente vigencia. Se debe tener en cuenta que la línea de negocios audiovisuales ha incrementado las labores representadas como autofacturas, las cuales no se ven reflejadas en estos indicadores pero que hacen parte de un ejercicio comercial y financiero más rentable para el canal. _x000a_Se avanzará en ejecución de contratos firmados, generación de autofacturas y gestión de nuevos clientes tanto públicos como privados. _x000a_Autofacturas generadas a la fecha: Personería, Secretaría de Desarrollo Económico, Secretaría de Comunicaciones: $122 millones (se muestra como gestión, pero no se suma al valor alcanzado, dado que el dinero se descuenta del recurso a administrar)."/>
    <m/>
    <m/>
    <m/>
  </r>
  <r>
    <n v="47"/>
    <s v="Plan de acción"/>
    <s v="3.4.6-COMUNICACIÓN PÚBLICA PARA EL FORTALECIMIENTO DE LA INSTITUCIONALIDAD Y LA CONFIANZA CIUDADANA"/>
    <x v="4"/>
    <x v="6"/>
    <x v="6"/>
    <s v="Ingresos por línea de pauta comercial emitida a clientes"/>
    <s v="Medir los ingresos efectivos por la línea de pauta emitida a clientes"/>
    <s v="Eficacia"/>
    <s v="Sumatoria de los ingresos por línea de pauta comercial  (Facturados)"/>
    <s v="Trimestral"/>
    <s v="Valor alcanzado en cada trimestre. Si no se evaluó, es cero &quot;0&quot;"/>
    <n v="1100000000"/>
    <n v="2.856E-3"/>
    <n v="112432372"/>
    <m/>
    <m/>
    <m/>
    <n v="112432372"/>
    <s v="Suma"/>
    <n v="0.10221124727272728"/>
    <n v="2.9191532221090912E-4"/>
    <s v="Ingresos por línea de pauta comercial emitida a clientes (Valor alcanzado: $112.432.372 | 10,2% de la meta)_x000a__x000a_La venta de pauta emitida para la presente vigencia es de $293.209.862, de los cuales $112 millones corresponden a pauta para empresa privada y $181 millones a entidades públicas por medio de autofacturas. _x000a_De estos, $139 millones fueron facturados en 2025 para pauta que se emitiría en 2026. Adicionalmente, se han generado autofacturas en pauta para 2026 por $42 millones."/>
    <m/>
    <m/>
    <m/>
  </r>
  <r>
    <n v="48"/>
    <s v="Plan de acción"/>
    <s v="3.4.6-COMUNICACIÓN PÚBLICA PARA EL FORTALECIMIENTO DE LA INSTITUCIONALIDAD Y LA CONFIANZA CIUDADANA"/>
    <x v="5"/>
    <x v="6"/>
    <x v="6"/>
    <s v="Indice de satisfacción Cliente interno"/>
    <s v="Medir la satisfacción clientes internos"/>
    <s v="Eficiencia"/>
    <s v="% de satisfacción por dependencia"/>
    <s v="Trimestral"/>
    <s v="Valor alcanzado en cada trimestre. Si no se evaluó, es cero &quot;0&quot;"/>
    <n v="0.85"/>
    <n v="1.3125000000000003E-2"/>
    <n v="0"/>
    <m/>
    <m/>
    <m/>
    <n v="0"/>
    <s v="Máximo"/>
    <n v="0"/>
    <n v="0"/>
    <s v="No se evalúa el indicador sino hasta el final del período o vigencia."/>
    <m/>
    <m/>
    <m/>
  </r>
  <r>
    <n v="49"/>
    <s v="Plan de acción"/>
    <s v="3.4.6-COMUNICACIÓN PÚBLICA PARA EL FORTALECIMIENTO DE LA INSTITUCIONALIDAD Y LA CONFIANZA CIUDADANA"/>
    <x v="5"/>
    <x v="6"/>
    <x v="6"/>
    <s v="Mapa de riesgos"/>
    <s v="Revisar y/o actualizar los mapas de riesgos del área"/>
    <s v="Efectividad"/>
    <s v="Mapas de riesgos revisado y/o actualizados"/>
    <s v="Trimestral"/>
    <s v="Valor alcanzado en cada trimestre. Si no se evaluó, es cero &quot;0&quot;"/>
    <n v="1"/>
    <n v="3.3250000000000003E-3"/>
    <n v="0"/>
    <m/>
    <m/>
    <m/>
    <n v="0"/>
    <s v="Suma"/>
    <n v="0"/>
    <n v="0"/>
    <s v="La actualización del mapa de riesgos del área  se elaborará en el segundo trimestre del año."/>
    <m/>
    <m/>
    <m/>
  </r>
  <r>
    <n v="50"/>
    <s v="Plan de acción"/>
    <s v="3.4.6-COMUNICACIÓN PÚBLICA PARA EL FORTALECIMIENTO DE LA INSTITUCIONALIDAD Y LA CONFIANZA CIUDADANA"/>
    <x v="5"/>
    <x v="6"/>
    <x v="7"/>
    <s v="Actividades FURAG - MIPG"/>
    <s v="Evaluar la ejecución actividades planeadas en Furag y MIPG"/>
    <s v="Eficiencia"/>
    <s v="# Actividades realizadas/# Actividades planeadas "/>
    <s v="Trimestral"/>
    <s v="Valor ACUMULADO en el trimestre de evaluación."/>
    <n v="1"/>
    <n v="7.0000000000000001E-3"/>
    <n v="0"/>
    <m/>
    <m/>
    <m/>
    <n v="0"/>
    <s v="Acumulado"/>
    <n v="0"/>
    <n v="0"/>
    <s v="No se ha consolidado la retroalimentación que brindó el Departamento Administrativo de la Función Pública con las observaciones y recomendaciones originadas a partir del diligenciamiento del FURAG de la vigencia anterior. Por lo tanto aún no se tiene claridad de las actividades planeadas para el cumplimiento de este indicador."/>
    <m/>
    <m/>
    <m/>
  </r>
  <r>
    <n v="51"/>
    <s v="Plan de acción"/>
    <s v="3.4.6-COMUNICACIÓN PÚBLICA PARA EL FORTALECIMIENTO DE LA INSTITUCIONALIDAD Y LA CONFIANZA CIUDADANA"/>
    <x v="5"/>
    <x v="6"/>
    <x v="7"/>
    <s v="Auditorías control interno"/>
    <s v="Medir la elaboración y entrega de informes de auditorías, por el sistema de Control Interno a Telemedellín."/>
    <s v="Eficacia"/>
    <s v="# de auditorías realizadas / # auditorias programadas"/>
    <s v="Trimestral"/>
    <s v="Valor ACUMULADO en el trimestre de evaluación."/>
    <n v="1"/>
    <n v="5.8333333333333336E-3"/>
    <n v="0"/>
    <m/>
    <m/>
    <m/>
    <n v="0"/>
    <s v="Acumulado"/>
    <n v="0"/>
    <n v="0"/>
    <s v="Según el Plan Anual de Auditorías de la Oficina de Control Interno, el cual fue aprobado por el Comité Institucional de Coordinación de Control Interno (CICCI), la primera auditoría interna inicia su desarrollo en el mes de abril."/>
    <m/>
    <m/>
    <m/>
  </r>
  <r>
    <n v="52"/>
    <s v="Plan de acción"/>
    <s v="3.4.6-COMUNICACIÓN PÚBLICA PARA EL FORTALECIMIENTO DE LA INSTITUCIONALIDAD Y LA CONFIANZA CIUDADANA"/>
    <x v="5"/>
    <x v="6"/>
    <x v="7"/>
    <s v="Cumplimiento en el desarrollo del plan de trabajo de la OCI"/>
    <s v="Realizar todas las actividades programadas en el plan para el año"/>
    <s v="Eficacia"/>
    <s v="Actividades Terminadas / Actividades Programadas"/>
    <s v="Trimestral"/>
    <s v="Valor ACUMULADO en el trimestre de evaluación."/>
    <n v="1"/>
    <n v="5.8333333333333336E-3"/>
    <n v="0.32"/>
    <m/>
    <m/>
    <m/>
    <n v="0.32"/>
    <s v="Acumulado"/>
    <n v="0.32"/>
    <n v="1.8666666666666669E-3"/>
    <s v="El plan de trabajo de la OCI, denominado como Plan Anual de Auditorías fue aprobado por el  Comité Institucional de Coordinación de Control Interno (CICCI) en acta del 04 de marzo de 2026. Si bien aún no se ha dado inicio a las auditorías internas, programadas para iniciar en abril, se ha dado cumplimiento a las demás actividades programadas de informes y seguimientos de Ley que concentran gran parte de su desarrollo en el primer trimestre del año, debido a ello se tiene el porcentaje de avance reportado en este indicador."/>
    <m/>
    <m/>
    <m/>
  </r>
  <r>
    <n v="53"/>
    <s v="Plan de acción"/>
    <s v="3.4.6-COMUNICACIÓN PÚBLICA PARA EL FORTALECIMIENTO DE LA INSTITUCIONALIDAD Y LA CONFIANZA CIUDADANA"/>
    <x v="5"/>
    <x v="6"/>
    <x v="7"/>
    <s v="Mapa de riesgos"/>
    <s v="Revisar y/o actualizar los mapas de riesgos de Telemedellín"/>
    <s v="Eficiencia"/>
    <s v="# de mapas de riesgos revisados/ # de mapas de riesgos existentes"/>
    <s v="Trimestral"/>
    <s v="Valor ACUMULADO en el trimestre de evaluación."/>
    <n v="1"/>
    <n v="3.5000000000000001E-3"/>
    <n v="0"/>
    <m/>
    <m/>
    <m/>
    <n v="0"/>
    <s v="Acumulado"/>
    <n v="0"/>
    <n v="0"/>
    <s v="La política de administración del riesgo aún se encuentra en proceso de actualización por parte de la entidad, de conformidad con la Guía para la Gestión Integral del Riesgo en Entidades Públicas Versión 7, publicada en el 2025 por el Departamento Administrativo de la Función Pública. Una vez sea actualizada, se procederá a realizar la revisión y actualización del mapa de riesgos."/>
    <m/>
    <m/>
    <m/>
  </r>
  <r>
    <n v="54"/>
    <s v="Plan de acción"/>
    <s v="3.4.6-COMUNICACIÓN PÚBLICA PARA EL FORTALECIMIENTO DE LA INSTITUCIONALIDAD Y LA CONFIANZA CIUDADANA"/>
    <x v="5"/>
    <x v="6"/>
    <x v="7"/>
    <s v="Plan Anticorrupción"/>
    <s v="Realizar seguimiento al Programa de Transparencia y Ética Pública (PTEP) de Telemedellín"/>
    <s v="Eficiencia"/>
    <s v="# Seguimientos al PTEP"/>
    <s v="Trimestral"/>
    <s v="Valor alcanzado en cada trimestre. Si no se evaluó, es cero &quot;0&quot;"/>
    <n v="3"/>
    <n v="3.5000000000000005E-3"/>
    <n v="1"/>
    <m/>
    <m/>
    <m/>
    <n v="1"/>
    <s v="Suma"/>
    <n v="0.33333333333333331"/>
    <n v="1.1666666666666668E-3"/>
    <s v="Su seguimiento se tiene establecido por la entidad para ser realizado de manera cuatrimestral, para un total de 3 veces al año, puede consultarse en el botón de transparencia de TELEMEDELLIN."/>
    <m/>
    <m/>
    <m/>
  </r>
  <r>
    <n v="55"/>
    <s v="Plan de acción"/>
    <s v="3.4.6-COMUNICACIÓN PÚBLICA PARA EL FORTALECIMIENTO DE LA INSTITUCIONALIDAD Y LA CONFIANZA CIUDADANA"/>
    <x v="5"/>
    <x v="6"/>
    <x v="7"/>
    <s v="Seguimientos a planes de mejoramiento "/>
    <s v="Revisar los informes de seguimientos a planes de mejoramiento"/>
    <s v="Eficiencia"/>
    <s v="# de seguimientos a planes de mejoramiento vigentes"/>
    <s v="Trimestral"/>
    <s v="Valor alcanzado en cada trimestre. Si no se evaluó, es cero &quot;0&quot;"/>
    <n v="2"/>
    <n v="3.5000000000000005E-3"/>
    <n v="0"/>
    <m/>
    <m/>
    <m/>
    <n v="0"/>
    <s v="Suma"/>
    <n v="0"/>
    <n v="0"/>
    <s v="Si bien si se han revisado las auditorías internas y externas, actualmente no se tienen planes de mejoramiento vigentes en la entidad, lo anterior debido a que por el cambio de periodo de la oficina de control interno, se dejaron las auditorías internas cerradas y adicionalmente en al última auditoría financiera de gestión y resultados realizada por la Contraloría Distrital de Medellín, con informe de noviembre de 2025, no se generaron hallazgos y por lo tanto la entidad no formuló un plan de mejoramiento.  "/>
    <m/>
    <m/>
    <m/>
  </r>
  <r>
    <n v="56"/>
    <s v="Plan de acción"/>
    <s v="3.4.6-COMUNICACIÓN PÚBLICA PARA EL FORTALECIMIENTO DE LA INSTITUCIONALIDAD Y LA CONFIANZA CIUDADANA"/>
    <x v="5"/>
    <x v="6"/>
    <x v="4"/>
    <s v="Actividades FURAG - MIPG"/>
    <s v="Evaluar la ejecución actividades planeadas en Furag y MIPG"/>
    <s v="Eficiencia"/>
    <s v="# Actividades realizadas/# Actividades planeadas "/>
    <s v="Trimestral"/>
    <s v="Valor ACUMULADO en el trimestre de evaluación."/>
    <n v="1"/>
    <n v="5.9500000000000013E-3"/>
    <n v="0"/>
    <m/>
    <m/>
    <m/>
    <n v="0"/>
    <s v="Acumulado"/>
    <n v="0"/>
    <n v="0"/>
    <s v="Estas actividades se comenzarán a ejecutar en el segundo trimestre."/>
    <m/>
    <m/>
    <m/>
  </r>
  <r>
    <n v="57"/>
    <s v="Plan de acción"/>
    <s v="3.4.6-COMUNICACIÓN PÚBLICA PARA EL FORTALECIMIENTO DE LA INSTITUCIONALIDAD Y LA CONFIANZA CIUDADANA"/>
    <x v="5"/>
    <x v="6"/>
    <x v="4"/>
    <s v="Cumplimiento PINAR"/>
    <s v="Medir el cumplimiento del PINAR"/>
    <s v="Eficiencia"/>
    <s v="# Actividades realizadas/# Actividades planeadas "/>
    <s v="Trimestral"/>
    <s v="Valor ACUMULADO en el trimestre de evaluación."/>
    <n v="1"/>
    <n v="7.6899999999999998E-3"/>
    <n v="0.11"/>
    <m/>
    <m/>
    <m/>
    <n v="0.11"/>
    <s v="Acumulado"/>
    <n v="0.11"/>
    <n v="8.4590000000000002E-4"/>
    <s v="Se han hecho la clasificación y ordenación de 361 documentos, digitalización de 529 documentos, realizado control de calidad a 196 documentos, realizado inventario a 21.25 metros lineales, registro de humedad y temperatura mensual._x000a_Pendiente: procedimientos por área de las actividades del proceso de gestión documental, actualizar instrumentos de gestión de información pública requerida por la ley de transparencia, esquema de capacitación y seguimiento a matriz de riesgo"/>
    <m/>
    <m/>
    <m/>
  </r>
  <r>
    <n v="58"/>
    <s v="Plan de acción"/>
    <s v="3.4.6-COMUNICACIÓN PÚBLICA PARA EL FORTALECIMIENTO DE LA INSTITUCIONALIDAD Y LA CONFIANZA CIUDADANA"/>
    <x v="3"/>
    <x v="6"/>
    <x v="4"/>
    <s v="Flujo de tesorería mensualizado"/>
    <s v="Generar los flujos de tesorería mensualizado"/>
    <s v="Eficiencia"/>
    <s v="# Flujos de tesorería / 12 meses"/>
    <s v="Trimestral"/>
    <s v="Valor alcanzado en cada trimestre. Si no se evaluó, es cero &quot;0&quot;"/>
    <n v="12"/>
    <n v="7.6E-3"/>
    <n v="3"/>
    <m/>
    <m/>
    <m/>
    <n v="3"/>
    <s v="Suma"/>
    <n v="0.25"/>
    <n v="1.9E-3"/>
    <s v="Se han realizado los boletines mensuales"/>
    <m/>
    <m/>
    <m/>
  </r>
  <r>
    <n v="59"/>
    <s v="Plan de acción"/>
    <s v="3.4.6-COMUNICACIÓN PÚBLICA PARA EL FORTALECIMIENTO DE LA INSTITUCIONALIDAD Y LA CONFIANZA CIUDADANA"/>
    <x v="5"/>
    <x v="6"/>
    <x v="4"/>
    <s v="Indice de satisfacción Cliente interno"/>
    <s v="Medir la satisfacción clientes internos"/>
    <s v="Eficiencia"/>
    <s v="% de satisfacción por dependencia"/>
    <s v="Trimestral"/>
    <s v="Valor alcanzado en cada trimestre. Si no se evaluó, es cero &quot;0&quot;"/>
    <n v="0.85"/>
    <n v="6.1999999999999998E-3"/>
    <n v="0"/>
    <m/>
    <m/>
    <m/>
    <n v="0"/>
    <s v="Máximo"/>
    <n v="0"/>
    <n v="0"/>
    <s v="Se realizarán en el segundo semestre"/>
    <m/>
    <m/>
    <m/>
  </r>
  <r>
    <n v="60"/>
    <s v="Plan de acción"/>
    <s v="3.4.6-COMUNICACIÓN PÚBLICA PARA EL FORTALECIMIENTO DE LA INSTITUCIONALIDAD Y LA CONFIANZA CIUDADANA"/>
    <x v="3"/>
    <x v="6"/>
    <x v="4"/>
    <s v="Informe de costos"/>
    <s v="Generar informe mensual de costos"/>
    <s v="Eficiencia"/>
    <s v="Presentar 12 informes en el año"/>
    <s v="Trimestral"/>
    <s v="Valor alcanzado en cada trimestre. Si no se evaluó, es cero &quot;0&quot;"/>
    <n v="12"/>
    <n v="7.8750000000000001E-3"/>
    <n v="3"/>
    <m/>
    <m/>
    <m/>
    <n v="3"/>
    <s v="Suma"/>
    <n v="0.25"/>
    <n v="1.96875E-3"/>
    <s v="Se han realizado los informes mensuales"/>
    <m/>
    <m/>
    <m/>
  </r>
  <r>
    <n v="61"/>
    <s v="Plan de acción"/>
    <s v="3.4.6-COMUNICACIÓN PÚBLICA PARA EL FORTALECIMIENTO DE LA INSTITUCIONALIDAD Y LA CONFIANZA CIUDADANA"/>
    <x v="5"/>
    <x v="6"/>
    <x v="4"/>
    <s v="Mapa de riesgos"/>
    <s v="Revisar y/o actualizar los mapas de riesgos del área"/>
    <s v="Eficiencia"/>
    <s v="Mapas de riesgos revisado y/o actualizados"/>
    <s v="Trimestral"/>
    <s v="Valor alcanzado en cada trimestre. Si no se evaluó, es cero &quot;0&quot;"/>
    <n v="1"/>
    <n v="5.3249999999999999E-3"/>
    <n v="0"/>
    <m/>
    <m/>
    <m/>
    <n v="0"/>
    <s v="Suma"/>
    <n v="0"/>
    <n v="0"/>
    <s v="Se realizarán en el segundo semestre"/>
    <m/>
    <m/>
    <m/>
  </r>
  <r>
    <n v="62"/>
    <s v="Plan de acción"/>
    <s v="3.4.6-COMUNICACIÓN PÚBLICA PARA EL FORTALECIMIENTO DE LA INSTITUCIONALIDAD Y LA CONFIANZA CIUDADANA"/>
    <x v="5"/>
    <x v="6"/>
    <x v="4"/>
    <s v="Plan de mantenimientos Sede"/>
    <s v="Ejecutar plan de mantenimiento Anualizado"/>
    <s v="Eficiencia"/>
    <s v="(# de mantenimientos ejecutados / # mantenimientos programados)*100%"/>
    <s v="Trimestral"/>
    <s v="Valor alcanzado en cada trimestre. Si no se evaluó, es cero &quot;0&quot;"/>
    <n v="1"/>
    <n v="5.2500000000000012E-3"/>
    <n v="0.19148936170212799"/>
    <m/>
    <m/>
    <m/>
    <n v="0.19148936170212799"/>
    <s v="Suma"/>
    <n v="0.19148936170212799"/>
    <n v="1.0053191489361722E-3"/>
    <s v="Se realizaron el total de los 9 mantenimientos que se tenían proyectados para el primer trimestre"/>
    <m/>
    <m/>
    <m/>
  </r>
  <r>
    <n v="63"/>
    <s v="Plan de acción"/>
    <s v="3.4.6-COMUNICACIÓN PÚBLICA PARA EL FORTALECIMIENTO DE LA INSTITUCIONALIDAD Y LA CONFIANZA CIUDADANA"/>
    <x v="5"/>
    <x v="6"/>
    <x v="0"/>
    <s v="Indice de satisfacción Cliente interno"/>
    <s v="Medir la satisfacción clientes internos"/>
    <s v="Eficiencia"/>
    <s v="% de satisfacción por dependencia"/>
    <s v="Trimestral"/>
    <s v="Valor alcanzado en cada trimestre. Si no se evaluó, es cero &quot;0&quot;"/>
    <n v="0.85"/>
    <n v="5.2500000000000012E-3"/>
    <n v="0"/>
    <m/>
    <m/>
    <m/>
    <n v="0"/>
    <s v="Máximo"/>
    <n v="0"/>
    <n v="0"/>
    <s v="La medición de satisfacción de los clientes internos se realizará en el segundo semestre del año."/>
    <m/>
    <m/>
    <m/>
  </r>
  <r>
    <n v="64"/>
    <s v="Plan de acción"/>
    <s v="3.4.6-COMUNICACIÓN PÚBLICA PARA EL FORTALECIMIENTO DE LA INSTITUCIONALIDAD Y LA CONFIANZA CIUDADANA"/>
    <x v="0"/>
    <x v="0"/>
    <x v="0"/>
    <s v="Informes de difusión de políticas del plan de desarrollo distrital en Telemedellín"/>
    <s v="Difundir las políticas del plan de desarrollo distrital"/>
    <s v="Eficiencia"/>
    <s v="# Informes de difusión de políticas."/>
    <s v="Trimestral"/>
    <s v="Valor alcanzado en cada trimestre. Si no se evaluó, es cero &quot;0&quot;"/>
    <n v="4"/>
    <n v="5.8333333333333336E-3"/>
    <n v="1"/>
    <m/>
    <m/>
    <m/>
    <n v="1"/>
    <s v="Suma"/>
    <n v="0.25"/>
    <n v="1.4583333333333334E-3"/>
    <s v="Se presento el informe trimestral del número de horas de productos audiovisuales referentes a campañas institucionales del plan de desarrollo distrital que se difunden a través de la pantalla de Telemedellín. Este informe reposa en las evidencias del respectivo trimestre."/>
    <m/>
    <m/>
    <m/>
  </r>
  <r>
    <n v="65"/>
    <s v="Plan de acción"/>
    <s v="3.4.6-COMUNICACIÓN PÚBLICA PARA EL FORTALECIMIENTO DE LA INSTITUCIONALIDAD Y LA CONFIANZA CIUDADANA"/>
    <x v="5"/>
    <x v="6"/>
    <x v="0"/>
    <s v="Manuales de estilo"/>
    <s v="Construir los manuales de estilo para programas producidos por Telemedellín"/>
    <s v="Eficiencia"/>
    <s v="(# manuales de estilo / # programas producidos en la vigencia)*100%"/>
    <s v="Trimestral"/>
    <s v="Valor ACUMULADO en el trimestre de evaluación."/>
    <n v="1"/>
    <n v="8.1666666666666676E-3"/>
    <n v="0"/>
    <m/>
    <m/>
    <m/>
    <n v="0"/>
    <s v="Final año"/>
    <n v="0"/>
    <n v="0"/>
    <s v="Los manuales de estilo de los productos audiovisuales del periodo están en proceso de elaboración por parte de los realizadores."/>
    <m/>
    <m/>
    <m/>
  </r>
  <r>
    <n v="66"/>
    <s v="Plan de acción"/>
    <s v="3.4.6-COMUNICACIÓN PÚBLICA PARA EL FORTALECIMIENTO DE LA INSTITUCIONALIDAD Y LA CONFIANZA CIUDADANA"/>
    <x v="5"/>
    <x v="6"/>
    <x v="0"/>
    <s v="Mapa de riesgos"/>
    <s v="Revisar y/o actualizar los mapas de riesgos del área"/>
    <s v="Eficiencia"/>
    <s v="Mapas de riesgos revisado y/o actualizados"/>
    <s v="Trimestral"/>
    <s v="Valor alcanzado en cada trimestre. Si no se evaluó, es cero &quot;0&quot;"/>
    <n v="1"/>
    <n v="3.3250000000000003E-3"/>
    <n v="0"/>
    <m/>
    <m/>
    <m/>
    <n v="0"/>
    <s v="Suma"/>
    <n v="0"/>
    <n v="0"/>
    <s v="La actualización del mapa de riesgos se realizará en el segundo trimestre con el acompañamiento de Planeación."/>
    <m/>
    <m/>
    <m/>
  </r>
  <r>
    <n v="67"/>
    <s v="Plan de acción"/>
    <s v="3.4.6-COMUNICACIÓN PÚBLICA PARA EL FORTALECIMIENTO DE LA INSTITUCIONALIDAD Y LA CONFIANZA CIUDADANA"/>
    <x v="5"/>
    <x v="6"/>
    <x v="2"/>
    <s v="Actividades FURAG - MIPG"/>
    <s v="Evaluar la ejecución actividades planeadas en Furag y MIPG"/>
    <s v="Eficiencia"/>
    <s v="# Actividades realizadas/# Actividades planeadas "/>
    <s v="Trimestral"/>
    <s v="Valor ACUMULADO en el trimestre de evaluación."/>
    <n v="1"/>
    <n v="5.9500000000000013E-3"/>
    <n v="0"/>
    <m/>
    <m/>
    <m/>
    <n v="0"/>
    <s v="Acumulado"/>
    <n v="0"/>
    <n v="0"/>
    <s v="La revisión y/o actualización de las actividades de MIPG y FURAG del área no se realizó durante el primer trimestre. Esta actividad se tiene programada para el segundo trimestre del año, con el fin de garantizar su alineación con la planeación y las dinámicas operativas de la entidad."/>
    <m/>
    <m/>
    <m/>
  </r>
  <r>
    <n v="68"/>
    <s v="Plan de acción"/>
    <s v="3.4.6-COMUNICACIÓN PÚBLICA PARA EL FORTALECIMIENTO DE LA INSTITUCIONALIDAD Y LA CONFIANZA CIUDADANA"/>
    <x v="2"/>
    <x v="5"/>
    <x v="2"/>
    <s v="Usuarios de eventos satisfechos"/>
    <s v="Medir la satisfacción de los usuarios asistentes a los eventos de Telemedellín_x000a_"/>
    <s v="Eficacia"/>
    <s v="(Usuarios satisfechos / Usuarios encuestados) x 100%"/>
    <s v="Trimestral"/>
    <s v="Valor alcanzado en cada trimestre. Si no se evaluó, es cero &quot;0&quot;"/>
    <n v="0.85"/>
    <n v="4.6666666666666671E-3"/>
    <n v="0"/>
    <m/>
    <m/>
    <m/>
    <n v="0"/>
    <s v="Suma"/>
    <n v="0"/>
    <n v="0"/>
    <s v="Para el indicador de medición de la satisfacción de los usuarios asistentes a los eventos de Telemedellín, se tiene definido realizar dos encuestas anuales. Estas se aplicarán en los meses de junio y noviembre del año en curso, con el fin de recoger información clave que permita evaluar la percepción de los asistentes y fortalecer continuamente la calidad de los eventos realizados por el canal."/>
    <m/>
    <m/>
    <m/>
  </r>
  <r>
    <n v="69"/>
    <s v="Plan de acción"/>
    <s v="3.4.6-COMUNICACIÓN PÚBLICA PARA EL FORTALECIMIENTO DE LA INSTITUCIONALIDAD Y LA CONFIANZA CIUDADANA"/>
    <x v="5"/>
    <x v="6"/>
    <x v="2"/>
    <s v="Difusión de políticas institucionales"/>
    <s v="Medir la ejecución de campañas internas de comunicación institucional."/>
    <s v="Eficiencia"/>
    <s v="Cantidad de campañas difundidas"/>
    <s v="Trimestral"/>
    <s v="Valor alcanzado en cada trimestre. Si no se evaluó, es cero &quot;0&quot;"/>
    <n v="12"/>
    <n v="7.000000000000001E-3"/>
    <n v="3"/>
    <m/>
    <m/>
    <m/>
    <n v="3"/>
    <s v="Suma"/>
    <n v="0.25"/>
    <n v="1.7500000000000003E-3"/>
    <s v="Durante el primer semestre del año se desarrollaron e implementaron las políticas internas relacionadas con el Cuarto de Seguro, así como las estrategias de planeación asociadas, entre ellas la Mesa de Ayuda y la gestión de los servidores Alpha. Estas acciones hacen parte del fortalecimiento de los lineamientos internos del canal, orientados a garantizar la continuidad operativa, la eficiencia en los procesos y el adecuado soporte tecnológico a las diferentes áreas."/>
    <m/>
    <m/>
    <m/>
  </r>
  <r>
    <n v="70"/>
    <s v="Plan de acción"/>
    <s v="3.4.6-COMUNICACIÓN PÚBLICA PARA EL FORTALECIMIENTO DE LA INSTITUCIONALIDAD Y LA CONFIANZA CIUDADANA"/>
    <x v="4"/>
    <x v="2"/>
    <x v="2"/>
    <s v="Gestión Free press Telemedellín"/>
    <s v="Gestionar FreePress comunicacional de Telemedellín"/>
    <s v="Efectividad"/>
    <s v="Valoración del Freepress"/>
    <s v="Trimestral"/>
    <s v="Valor alcanzado en cada trimestre. Si no se evaluó, es cero &quot;0&quot;"/>
    <n v="300000000"/>
    <n v="4.8124999999999999E-3"/>
    <n v="18500000"/>
    <m/>
    <m/>
    <m/>
    <n v="18500000"/>
    <s v="Suma"/>
    <n v="6.1666666666666668E-2"/>
    <n v="2.9677083333333335E-4"/>
    <s v="Para el indicador “Gestionar Free Press comunicacional de Telemedellín”, durante el primer trimestre del año se han realizado visitas a más de ocho medios de comunicación, logrando publicaciones en diferentes plataformas. Estas acciones han permitido visibilizar y promocionar los contenidos, estrategias y actividades del canal, fortaleciendo su posicionamiento y alcance ante diversas audiencias._x000a__x000a_Evidencias: https://drive.google.com/drive/folders/1DwXh7tmfqNvtLdj1E2lks27Vr4R5oW-E?usp=drive_link"/>
    <m/>
    <m/>
    <m/>
  </r>
  <r>
    <n v="71"/>
    <s v="Plan de acción"/>
    <s v="3.4.6-COMUNICACIÓN PÚBLICA PARA EL FORTALECIMIENTO DE LA INSTITUCIONALIDAD Y LA CONFIANZA CIUDADANA"/>
    <x v="5"/>
    <x v="6"/>
    <x v="2"/>
    <s v="Indice de satisfacción Cliente interno"/>
    <s v="Medir la satisfacción clientes internos"/>
    <s v="Eficiencia"/>
    <s v="% de satisfacción por dependencia"/>
    <s v="Trimestral"/>
    <s v="Valor alcanzado en cada trimestre. Si no se evaluó, es cero &quot;0&quot;"/>
    <n v="0.85"/>
    <n v="5.2500000000000012E-3"/>
    <n v="0"/>
    <m/>
    <m/>
    <m/>
    <n v="0"/>
    <s v="Máximo"/>
    <n v="0"/>
    <n v="0"/>
    <s v="La medición de la satisfacción de clientes internos no se realiza durante el primer semestre, ya que este indicador está programado para evaluarse entre el tercer y cuarto trimestre del año, con el fin de obtener resultados más completos y representativos de la gestión anual._x000a__x000a_Evidencias: https://drive.google.com/drive/folders/1DwXh7tmfqNvtLdj1E2lks27Vr4R5oW-E?usp=drive_link"/>
    <m/>
    <m/>
    <m/>
  </r>
  <r>
    <n v="72"/>
    <s v="Plan de acción"/>
    <s v="3.4.6-COMUNICACIÓN PÚBLICA PARA EL FORTALECIMIENTO DE LA INSTITUCIONALIDAD Y LA CONFIANZA CIUDADANA"/>
    <x v="5"/>
    <x v="6"/>
    <x v="2"/>
    <s v="Mapa de riesgos"/>
    <s v="Revisar y/o actualizar los mapas de riesgos del área"/>
    <s v="Eficiencia"/>
    <s v="Mapas de riesgos revisado y/o actualizados"/>
    <s v="Trimestral"/>
    <s v="Valor alcanzado en cada trimestre. Si no se evaluó, es cero &quot;0&quot;"/>
    <n v="1"/>
    <n v="3.3250000000000003E-3"/>
    <n v="0"/>
    <m/>
    <m/>
    <m/>
    <n v="0"/>
    <s v="Suma"/>
    <n v="0"/>
    <n v="0"/>
    <s v="La revisión y/o actualización de los mapas de riesgos del área no se realizó durante el primer trimestre. Esta actividad se tiene programada para el segundo trimestre del año, con el fin de garantizar su alineación con la planeación y las dinámicas operativas de la entidad._x000a__x000a_Evidencias: https://drive.google.com/drive/folders/1DwXh7tmfqNvtLdj1E2lks27Vr4R5oW-E?usp=drive_link"/>
    <m/>
    <m/>
    <m/>
  </r>
  <r>
    <n v="73"/>
    <s v="Plan de acción"/>
    <s v="3.4.6-COMUNICACIÓN PÚBLICA PARA EL FORTALECIMIENTO DE LA INSTITUCIONALIDAD Y LA CONFIANZA CIUDADANA"/>
    <x v="5"/>
    <x v="6"/>
    <x v="2"/>
    <s v="Canjes y Alianzas"/>
    <s v="Medir la gestión de canjes y alianzas ejecutadas"/>
    <s v="Eficiencia"/>
    <s v="Sumatoria de Canjes y/o alianzas ejecutadas"/>
    <s v="Trimestral"/>
    <s v="Valor alcanzado en cada trimestre. Si no se evaluó, es cero &quot;0&quot;"/>
    <n v="50"/>
    <n v="7.000000000000001E-3"/>
    <n v="28"/>
    <m/>
    <m/>
    <m/>
    <n v="28"/>
    <s v="Suma"/>
    <n v="0.56000000000000005"/>
    <n v="3.9200000000000007E-3"/>
    <s v="Durante el primer trimestre del año, y en cumplimiento del indicador “Medir la gestión de canjes y alianzas ejecutadas”, se logró la consolidación de 28 alianzas estratégicas. Estas acciones reflejan una gestión activa en la articulación con diferentes marcas y aliados, permitiendo fortalecer la oferta institucional, optimizar recursos mediante canjes y generar valor conjunto para el desarrollo de las actividades de la entidad._x000a__x000a_Evidencias: https://drive.google.com/drive/folders/1DwXh7tmfqNvtLdj1E2lks27Vr4R5oW-E?usp=drive_link"/>
    <m/>
    <m/>
    <m/>
  </r>
  <r>
    <n v="74"/>
    <s v="Plan de acción"/>
    <s v="3.4.6-COMUNICACIÓN PÚBLICA PARA EL FORTALECIMIENTO DE LA INSTITUCIONALIDAD Y LA CONFIANZA CIUDADANA"/>
    <x v="0"/>
    <x v="2"/>
    <x v="2"/>
    <s v="Rendición pública de cuentas"/>
    <s v="Rendir ante la comunidad y el público general interesado la información de las diferentes acciones y manejos que se han realizado de la entidad."/>
    <s v="Eficacia"/>
    <s v="Cantidad de informes de gestión expuestos a la ciudadanía"/>
    <s v="Trimestral"/>
    <s v="Valor alcanzado en cada trimestre. Si no se evaluó, es cero &quot;0&quot;"/>
    <n v="1"/>
    <n v="4.6666666666666671E-3"/>
    <n v="0"/>
    <m/>
    <m/>
    <m/>
    <n v="0"/>
    <s v="Suma"/>
    <n v="0"/>
    <n v="0"/>
    <s v="Durante el primer semestre del año no se llevó a cabo esta actividad, debido a que la rendición de cuentas ante la comunidad y el público en general se realiza de manera anual. Este ejercicio se programa para el cierre del año, con el fin de consolidar y presentar de forma integral los resultados, acciones y gestión desarrollados a lo largo de toda la vigencia._x000a__x000a_Evidencias: https://drive.google.com/drive/folders/1DwXh7tmfqNvtLdj1E2lks27Vr4R5oW-E?usp=drive_link"/>
    <m/>
    <m/>
    <m/>
  </r>
  <r>
    <n v="75"/>
    <s v="Plan de acción"/>
    <s v="3.4.6-COMUNICACIÓN PÚBLICA PARA EL FORTALECIMIENTO DE LA INSTITUCIONALIDAD Y LA CONFIANZA CIUDADANA"/>
    <x v="5"/>
    <x v="6"/>
    <x v="3"/>
    <s v="Actividades FURAG - MIPG"/>
    <s v="Evaluar la ejecución actividades planeadas en Furag y MIPG"/>
    <s v="Eficiencia"/>
    <s v="# Actividades realizadas/# Actividades planeadas "/>
    <s v="Trimestral"/>
    <s v="Valor ACUMULADO en el trimestre de evaluación."/>
    <n v="1"/>
    <n v="5.9500000000000013E-3"/>
    <n v="0.25"/>
    <m/>
    <m/>
    <m/>
    <n v="0.25"/>
    <s v="Suma"/>
    <n v="0.25"/>
    <n v="1.4875000000000003E-3"/>
    <s v="Se han venido actualizando la dcocumentación de  acuerdo con el Plan de Seguridad y Privaviad de la Información."/>
    <m/>
    <m/>
    <m/>
  </r>
  <r>
    <n v="76"/>
    <s v="Plan de acción"/>
    <s v="3.4.6-COMUNICACIÓN PÚBLICA PARA EL FORTALECIMIENTO DE LA INSTITUCIONALIDAD Y LA CONFIANZA CIUDADANA"/>
    <x v="5"/>
    <x v="6"/>
    <x v="3"/>
    <s v="Gobierno digital"/>
    <s v="Medir  el alcance de resultados de Gobierno Digital en Furag"/>
    <s v="Eficacia"/>
    <s v="% obtenido en calificación Furag en gobierno digital"/>
    <s v="Trimestral"/>
    <s v="Valor ACUMULADO en el trimestre de evaluación."/>
    <n v="0.75"/>
    <n v="8.1666666666666676E-3"/>
    <n v="0"/>
    <m/>
    <m/>
    <m/>
    <n v="0"/>
    <s v="Acumulado"/>
    <n v="0"/>
    <n v="0"/>
    <s v="Aun no ha llegado le evaluación del Furag del año 2024"/>
    <m/>
    <m/>
    <m/>
  </r>
  <r>
    <n v="77"/>
    <s v="Plan de acción"/>
    <s v="3.4.6-COMUNICACIÓN PÚBLICA PARA EL FORTALECIMIENTO DE LA INSTITUCIONALIDAD Y LA CONFIANZA CIUDADANA"/>
    <x v="5"/>
    <x v="6"/>
    <x v="3"/>
    <s v="Indice de satisfacción Cliente interno"/>
    <s v="Medir la satisfacción clientes internos"/>
    <s v="Eficiencia"/>
    <s v="% de satisfacción por dependencia"/>
    <s v="Trimestral"/>
    <s v="Valor alcanzado en cada trimestre. Si no se evaluó, es cero &quot;0&quot;"/>
    <n v="0.85"/>
    <n v="5.2500000000000012E-3"/>
    <n v="0"/>
    <m/>
    <m/>
    <m/>
    <n v="0"/>
    <s v="Máximo"/>
    <n v="0"/>
    <n v="0"/>
    <s v="No se ha realizado evaluación de la satisfacción de los clientes"/>
    <m/>
    <m/>
    <m/>
  </r>
  <r>
    <n v="78"/>
    <s v="Plan de acción"/>
    <s v="3.4.6-COMUNICACIÓN PÚBLICA PARA EL FORTALECIMIENTO DE LA INSTITUCIONALIDAD Y LA CONFIANZA CIUDADANA"/>
    <x v="1"/>
    <x v="3"/>
    <x v="3"/>
    <s v="Mantenimiento a equipos"/>
    <s v="Medir la eficiencia en la gestión de los mantenimientos preventivos y correctivos solicitados"/>
    <s v="Eficiencia"/>
    <s v="Casos cerrados/casos solicitados"/>
    <s v="Trimestral"/>
    <s v="Valor ACUMULADO en el trimestre de evaluación."/>
    <n v="1"/>
    <n v="5.2500000000000012E-3"/>
    <n v="0.87"/>
    <m/>
    <m/>
    <m/>
    <n v="0"/>
    <s v="Final año"/>
    <n v="0"/>
    <n v="0"/>
    <s v="Se vienen atendiendo los requerimintos con normalidad: los casos no cerrados se deben a que estan pendientes de repuestos, diagnostico o se encunetran en un centro de servicio"/>
    <m/>
    <m/>
    <m/>
  </r>
  <r>
    <n v="79"/>
    <s v="Plan de acción"/>
    <s v="3.4.6-COMUNICACIÓN PÚBLICA PARA EL FORTALECIMIENTO DE LA INSTITUCIONALIDAD Y LA CONFIANZA CIUDADANA"/>
    <x v="5"/>
    <x v="6"/>
    <x v="3"/>
    <s v="Mapa de riesgos"/>
    <s v="Revisar y/o actualizar los mapas de riesgos del área"/>
    <s v="Eficiencia"/>
    <s v="Mapas de riesgos revisado y/o actualizados"/>
    <s v="Trimestral"/>
    <s v="Valor alcanzado en cada trimestre. Si no se evaluó, es cero &quot;0&quot;"/>
    <n v="1"/>
    <n v="3.3250000000000003E-3"/>
    <n v="1"/>
    <m/>
    <m/>
    <m/>
    <n v="1"/>
    <s v="Suma"/>
    <n v="1"/>
    <n v="3.3250000000000003E-3"/>
    <s v="Ya se realizó la revisión y actualización del mapa de riesgos del área."/>
    <m/>
    <m/>
    <m/>
  </r>
  <r>
    <n v="80"/>
    <s v="Plan de acción"/>
    <s v="3.4.6-COMUNICACIÓN PÚBLICA PARA EL FORTALECIMIENTO DE LA INSTITUCIONALIDAD Y LA CONFIANZA CIUDADANA"/>
    <x v="5"/>
    <x v="6"/>
    <x v="5"/>
    <s v="Actividades FURAG - MIPG"/>
    <s v="Evaluar la ejecución actividades planeadas en Furag y MIPG"/>
    <s v="Eficiencia"/>
    <s v="# Actividades realizadas/# Actividades planeadas "/>
    <s v="Trimestral"/>
    <s v="Valor ACUMULADO en el trimestre de evaluación."/>
    <n v="0.9"/>
    <n v="6.0287499999999994E-3"/>
    <n v="0.16666666666666666"/>
    <m/>
    <m/>
    <m/>
    <n v="0.16666666666666666"/>
    <s v="Acumulado"/>
    <n v="0.18518518518518517"/>
    <n v="1.1164351851851849E-3"/>
    <s v="Ya  se han adelantado algunas actividades y con el área de Planeación vamos a articularlo con el Plan General desde el segundo trimestre."/>
    <m/>
    <m/>
    <m/>
  </r>
  <r>
    <n v="81"/>
    <s v="Plan de acción"/>
    <s v="3.4.6-COMUNICACIÓN PÚBLICA PARA EL FORTALECIMIENTO DE LA INSTITUCIONALIDAD Y LA CONFIANZA CIUDADANA"/>
    <x v="2"/>
    <x v="5"/>
    <x v="5"/>
    <s v="Capacitación en habilidades blandas"/>
    <s v="Lograr impactar a todas las áreas con por lo menos una formación en habilidad blanda al año"/>
    <s v="Eficacia"/>
    <s v="Áreas impactadas con habilidades blandas / áreas totales"/>
    <s v="Trimestral"/>
    <s v="Valor alcanzado en cada trimestre. Si no se evaluó, es cero &quot;0&quot;"/>
    <n v="0.9"/>
    <n v="4.6666666666666671E-3"/>
    <n v="0.12"/>
    <m/>
    <m/>
    <m/>
    <n v="0.12"/>
    <s v="Suma"/>
    <n v="0.13333333333333333"/>
    <n v="6.2222222222222225E-4"/>
    <s v="El día 12 de marzo se llevó a cabo una actividad vivencial de trabajo en equipo, como habilidad blanda, dirigido a las áreas de Digital y Casa Creativa, con una participación de siete (7) personas._x000a__x000a_De 17 áreas identiicadas se impactaron 2 de ellas. _x000a__x000a_Se cuenta con las listas de asistencia correspondiente como evidencia de la participación en cada formación, ademas del registro fotografico "/>
    <m/>
    <m/>
    <m/>
  </r>
  <r>
    <n v="82"/>
    <s v="Plan de acción"/>
    <s v="3.4.6-COMUNICACIÓN PÚBLICA PARA EL FORTALECIMIENTO DE LA INSTITUCIONALIDAD Y LA CONFIANZA CIUDADANA"/>
    <x v="2"/>
    <x v="5"/>
    <x v="5"/>
    <s v="Cumplimiento del Plan de Bienestar Laboral"/>
    <s v="Medir las actividades de bienestar laboral."/>
    <s v="Eficiencia"/>
    <s v="# de actividades del plan de bienestar laboral ejecutadas / # de actividades del plan de bienestar laboral programadas"/>
    <s v="Trimestral"/>
    <s v="Valor ACUMULADO en el trimestre de evaluación."/>
    <n v="0.9"/>
    <n v="8.0000000000000002E-3"/>
    <n v="0.15"/>
    <m/>
    <m/>
    <m/>
    <n v="0.15"/>
    <s v="Acumulado"/>
    <n v="0.16666666666666666"/>
    <n v="1.3333333333333333E-3"/>
    <s v="Se han ejecutado 33 actividades en el primer trimestre de las 221 programadas durante el año para un porcentaje de 15%"/>
    <m/>
    <m/>
    <m/>
  </r>
  <r>
    <n v="83"/>
    <s v="Plan de acción"/>
    <s v="3.4.6-COMUNICACIÓN PÚBLICA PARA EL FORTALECIMIENTO DE LA INSTITUCIONALIDAD Y LA CONFIANZA CIUDADANA"/>
    <x v="5"/>
    <x v="6"/>
    <x v="5"/>
    <s v="Cumplimiento del plan de capacitación"/>
    <s v="Medir las actividades del Plan de formación y capacitación"/>
    <s v="Eficiencia"/>
    <s v="# de capacitaciones ejecutadas / # de capacitaciones programadas"/>
    <s v="Trimestral"/>
    <s v="Valor ACUMULADO en el trimestre de evaluación."/>
    <n v="0.85"/>
    <n v="5.0000000000000001E-3"/>
    <n v="1"/>
    <m/>
    <m/>
    <m/>
    <n v="1"/>
    <s v="Acumulado"/>
    <n v="1.1764705882352942"/>
    <n v="5.0000000000000001E-3"/>
    <s v="Frente al plan de formación, para el primer trimestre se proyectaron 12 formaciones, de las cuales se ejecutaron en su totalidad las 12 programadas. Acá no se consideraron las inducciones a pesar de ser formaciones, ya que tienen una línea en el Plan de acción. Alguno  de los temas abordados fueron los siguientes:_x000a__x000a_1) Seguimos cuidándonos: capacitación virtual dirigida a contratistas (27-01-2026)._x000a_2) Capacitación en herramientas mecanizadas de mantenimiento (04-02-2026)._x000a_3) Protocolo Institucional de Cubrimiento Electoral 2026 (20-02-2026)._x000a_4) Capacitación y sensibilización sobre el uso y manejo del área protegida EMI (19-02-2026)._x000a_5) Capacitación en eventos, montajes y logística – control de cumplimiento en SST (04-03-2026)._x000a_6) Charla de alimentación consciente (11-03-2026)._x000a_7) Formación en habilidades blandas: trabajo en equipo (12-03-2026)._x000a_8) Tres (3) formaciones dirigidas a la brigada de emergencia._x000a_Ademas de otras formaciones_x000a_"/>
    <m/>
    <m/>
    <m/>
  </r>
  <r>
    <n v="84"/>
    <s v="Plan de acción"/>
    <s v="3.4.6-COMUNICACIÓN PÚBLICA PARA EL FORTALECIMIENTO DE LA INSTITUCIONALIDAD Y LA CONFIANZA CIUDADANA"/>
    <x v="2"/>
    <x v="5"/>
    <x v="5"/>
    <s v="Cumplimiento del plan de seguridad y salud en el trabajo"/>
    <s v="Realizar seguimiento al Sistema de Gestión de Seguridad y salud en el trabajo."/>
    <s v="Eficiencia"/>
    <s v="# de actividades del plan de seguridad y salud en el trabajo ejecutadas / # de actividades del plan de seguridad y salud en el trabajo programadas"/>
    <s v="Trimestral"/>
    <s v="Valor ACUMULADO en el trimestre de evaluación."/>
    <n v="0.9"/>
    <n v="7.000000000000001E-3"/>
    <n v="0.26"/>
    <m/>
    <m/>
    <m/>
    <n v="0.26"/>
    <s v="Acumulado"/>
    <n v="0.28888888888888892"/>
    <n v="2.0222222222222226E-3"/>
    <s v="Durante el periodo evaluado, se proyectaron 41 actividades en el Plan de Trabajo del Sistema de Gestión de Seguridad y Salud en el Trabajo (SG-SST), de las cuales se ejecutaron 40, alcanzando un cumplimiento del 26%._x000a__x000a_Entre las actividades más destacadas se encuentran la asignación de recursos, así como la definición de roles y responsabilidades en los diferentes niveles de la organización. De igual manera, se resalta el funcionamiento de los grupos de apoyo en SST, la ejecución del plan de capacitación, el desarrollo de inducciones y la actualización de la política integrada de SST junto con sus respectivos objetivos._x000a__x000a_Adicionalmente, se llevaron a cabo actividades de medicina preventiva, la documentación del sistema de gestión, la gestión de contratos en SST, el seguimiento a indicadores y otros aspectos relacionados con el cumplimiento legal._x000a__x000a_Como soporte de lo anterior, se cuenta con el Plan de Trabajo de SST debidamente firmado en formato PDF, así como el archivo en Excel completamente diligenciado."/>
    <m/>
    <m/>
    <m/>
  </r>
  <r>
    <n v="85"/>
    <s v="Plan de acción"/>
    <s v="3.4.6-COMUNICACIÓN PÚBLICA PARA EL FORTALECIMIENTO DE LA INSTITUCIONALIDAD Y LA CONFIANZA CIUDADANA"/>
    <x v="2"/>
    <x v="5"/>
    <x v="5"/>
    <s v="Inducción y reinducción"/>
    <s v="Realizar ejercicios de inducción o reinduccióna los colaboradores del canal"/>
    <s v="Eficiencia"/>
    <s v="# Ejercicios de inducción o reinducción"/>
    <s v="Trimestral"/>
    <s v="Valor alcanzado en cada trimestre. Si no se evaluó, es cero &quot;0&quot;"/>
    <n v="1"/>
    <n v="4.4999999999999997E-3"/>
    <n v="0"/>
    <m/>
    <m/>
    <m/>
    <n v="0"/>
    <s v="Suma"/>
    <n v="0"/>
    <n v="0"/>
    <s v="Se tiene previsto realizar la reinducción institucional para junio "/>
    <m/>
    <m/>
    <m/>
  </r>
  <r>
    <n v="86"/>
    <s v="Plan de acción"/>
    <s v="3.4.6-COMUNICACIÓN PÚBLICA PARA EL FORTALECIMIENTO DE LA INSTITUCIONALIDAD Y LA CONFIANZA CIUDADANA"/>
    <x v="2"/>
    <x v="5"/>
    <x v="5"/>
    <s v="Inducción y reinducción"/>
    <s v="Medir el % personas con procesos de inducción"/>
    <s v="Eficacia"/>
    <s v="# personas con inducción / # personas nuevos ingresos al canal."/>
    <s v="Trimestral"/>
    <s v="Valor ACUMULADO en el trimestre de evaluación."/>
    <n v="0.9"/>
    <n v="3.7000000000000002E-3"/>
    <n v="0.63"/>
    <m/>
    <m/>
    <m/>
    <n v="0.63"/>
    <s v="Acumulado"/>
    <n v="0.7"/>
    <n v="2.5899999999999999E-3"/>
    <s v="Se realizaron siete (7) inducciones durante el primer trimestre del año, distribuidas de la siguiente manera: una (1) inducción al jefe de Control Interno el día 28 de enero y seis (6) inducciones a practicantes el día 13 de febrero, quedaron pendientes cuatro practicantes que ingresaron en marzo. "/>
    <m/>
    <m/>
    <m/>
  </r>
  <r>
    <n v="87"/>
    <s v="Plan de acción"/>
    <s v="3.4.6-COMUNICACIÓN PÚBLICA PARA EL FORTALECIMIENTO DE LA INSTITUCIONALIDAD Y LA CONFIANZA CIUDADANA"/>
    <x v="2"/>
    <x v="6"/>
    <x v="5"/>
    <s v="Indice de satisfacción Cliente interno"/>
    <s v="Medir la satisfacción clientes internos"/>
    <s v="Eficiencia"/>
    <s v="% de satisfacción por dependencia"/>
    <s v="Trimestral"/>
    <s v="Valor alcanzado en cada trimestre. Si no se evaluó, es cero &quot;0&quot;"/>
    <n v="0.85"/>
    <n v="5.7999999999999996E-3"/>
    <n v="0"/>
    <m/>
    <m/>
    <m/>
    <n v="0"/>
    <m/>
    <n v="0"/>
    <n v="0"/>
    <s v="Se tiene previsto realizar la actividad en el ultimo trimestre del año"/>
    <m/>
    <m/>
    <m/>
  </r>
  <r>
    <n v="88"/>
    <s v="Plan de acción"/>
    <s v="3.4.6-COMUNICACIÓN PÚBLICA PARA EL FORTALECIMIENTO DE LA INSTITUCIONALIDAD Y LA CONFIANZA CIUDADANA"/>
    <x v="5"/>
    <x v="6"/>
    <x v="5"/>
    <s v="Mapa de riesgos"/>
    <s v="Revisar y/o actualizar los mapas de riesgos del área"/>
    <s v="Eficiencia"/>
    <s v="Mapas de riesgos revisado y/o actualizados"/>
    <s v="Trimestral"/>
    <s v="Valor alcanzado en cada trimestre. Si no se evaluó, es cero &quot;0&quot;"/>
    <n v="1"/>
    <n v="3.0000000000000001E-3"/>
    <n v="0"/>
    <m/>
    <m/>
    <m/>
    <n v="0"/>
    <s v="Suma"/>
    <n v="0"/>
    <n v="0"/>
    <s v="Se tiene programada la actualización para el segundo trimestre."/>
    <m/>
    <m/>
    <m/>
  </r>
  <r>
    <n v="89"/>
    <s v="Plan de acción"/>
    <s v="3.4.6-COMUNICACIÓN PÚBLICA PARA EL FORTALECIMIENTO DE LA INSTITUCIONALIDAD Y LA CONFIANZA CIUDADANA"/>
    <x v="2"/>
    <x v="5"/>
    <x v="5"/>
    <s v="Tiquetera emocional"/>
    <s v="Implementar y promover el uso de la tiquetera emocional para los colaboradores"/>
    <s v="Eficacia"/>
    <s v=" Uso de la tiquetera emocional mayor o igual a 200 en el año"/>
    <s v="Trimestral"/>
    <s v="Valor alcanzado en cada trimestre. Si no se evaluó, es cero &quot;0&quot;"/>
    <s v="&gt;=200"/>
    <n v="5.0000000000000001E-3"/>
    <n v="52"/>
    <m/>
    <m/>
    <m/>
    <n v="52"/>
    <s v="Suma"/>
    <e v="#VALUE!"/>
    <e v="#VALUE!"/>
    <s v="Durante el primer trimestre han utilizados 52 benficios de la tiquetera emocional ( 36 días de la familia, 14 cumpleaños, 1 grado, 1 apoyo comité)"/>
    <m/>
    <m/>
    <m/>
  </r>
  <r>
    <n v="90"/>
    <s v="Plan de acción"/>
    <s v="3.4.6-COMUNICACIÓN PÚBLICA PARA EL FORTALECIMIENTO DE LA INSTITUCIONALIDAD Y LA CONFIANZA CIUDADANA"/>
    <x v="5"/>
    <x v="6"/>
    <x v="8"/>
    <s v="Avance implementación MIPG"/>
    <s v="Evaluar la implementación y seguimiento del MIPG"/>
    <s v="Eficacia"/>
    <s v="Implementaciones ejecutadas / Implementaciones proyectadas X 100%"/>
    <s v="Trimestral"/>
    <s v="Valor ACUMULADO en el trimestre de evaluación."/>
    <n v="0.9"/>
    <n v="6.1250000000000011E-3"/>
    <n v="0.1"/>
    <m/>
    <m/>
    <m/>
    <n v="0.1"/>
    <s v="Acumulado"/>
    <n v="0.11111111111111112"/>
    <n v="6.8055555555555577E-4"/>
    <s v="Ya se han comenzado a realizar algunas actividades de MIPG principalmente las que quedaron pendientes del año pasado con las áreas resagadas."/>
    <m/>
    <m/>
    <m/>
  </r>
  <r>
    <n v="91"/>
    <s v="Plan de acción"/>
    <s v="3.4.6-COMUNICACIÓN PÚBLICA PARA EL FORTALECIMIENTO DE LA INSTITUCIONALIDAD Y LA CONFIANZA CIUDADANA"/>
    <x v="5"/>
    <x v="6"/>
    <x v="8"/>
    <s v="Evaluación FURAG "/>
    <s v="Obtener una alta calificación en el Formulario Único (FURAG)"/>
    <s v="Eficacia"/>
    <s v="Calificación institucional en el FURAG"/>
    <s v="Trimestral"/>
    <s v="Valor alcanzado en cada trimestre. Si no se evaluó, es cero &quot;0&quot;"/>
    <n v="70"/>
    <n v="8.1666666666666676E-3"/>
    <n v="0"/>
    <m/>
    <m/>
    <m/>
    <n v="0"/>
    <s v="Máximo"/>
    <n v="0"/>
    <n v="0"/>
    <s v="Si bien se comenzó a diligenciar el FURAG  con las respectivas áreas de apoyo, se tiene proyectado finalizar el diligenciamiento del formulario a mediados del mes de abril y recibir la calificación institucional en el mes de julio o agosto del año."/>
    <m/>
    <m/>
    <m/>
  </r>
  <r>
    <n v="92"/>
    <s v="Plan de acción"/>
    <s v="3.4.6-COMUNICACIÓN PÚBLICA PARA EL FORTALECIMIENTO DE LA INSTITUCIONALIDAD Y LA CONFIANZA CIUDADANA"/>
    <x v="5"/>
    <x v="6"/>
    <x v="8"/>
    <s v="Indice de satisfacción Cliente interno"/>
    <s v="Medir la satisfacción clientes internos"/>
    <s v="Eficiencia"/>
    <s v="% de satisfacción por dependencia"/>
    <s v="Trimestral"/>
    <s v="Valor alcanzado en cada trimestre. Si no se evaluó, es cero &quot;0&quot;"/>
    <n v="0.9"/>
    <n v="5.2500000000000012E-3"/>
    <n v="0"/>
    <m/>
    <m/>
    <m/>
    <n v="0"/>
    <s v="Máximo"/>
    <n v="0"/>
    <n v="0"/>
    <s v="La medición de satisfacción de clientes internos se realizará en el segundo semestre del año."/>
    <m/>
    <m/>
    <m/>
  </r>
  <r>
    <n v="93"/>
    <s v="Plan de acción"/>
    <s v="3.4.6-COMUNICACIÓN PÚBLICA PARA EL FORTALECIMIENTO DE LA INSTITUCIONALIDAD Y LA CONFIANZA CIUDADANA"/>
    <x v="5"/>
    <x v="6"/>
    <x v="8"/>
    <s v="Rendición de cuentas"/>
    <s v="Rendir ante la comunidad y el público general interesado la información de las diferentes acciones y manejos que se han realizado de la entidad."/>
    <s v="Eficacia"/>
    <s v="Cantidad de informes de gestión presentados a la ciudadanía"/>
    <s v="Trimestral"/>
    <s v="Valor alcanzado en cada trimestre. Si no se evaluó, es cero &quot;0&quot;"/>
    <n v="1"/>
    <n v="5.8333333333333336E-3"/>
    <n v="0"/>
    <m/>
    <m/>
    <m/>
    <n v="0"/>
    <s v="Suma"/>
    <n v="0"/>
    <n v="0"/>
    <s v="La rendición de cuentas se ejecutará al finalizar el periodo, por lo cual este indicador se diligenciará en el mes de diciembre."/>
    <m/>
    <m/>
    <m/>
  </r>
  <r>
    <n v="94"/>
    <s v="Plan de acción"/>
    <s v="3.4.6-COMUNICACIÓN PÚBLICA PARA EL FORTALECIMIENTO DE LA INSTITUCIONALIDAD Y LA CONFIANZA CIUDADANA"/>
    <x v="5"/>
    <x v="6"/>
    <x v="8"/>
    <s v="Informe de gestión"/>
    <s v="Generar el documento Informe de gestión Telemedellín"/>
    <s v="Eficacia"/>
    <s v="Cantidad de informes de gestión presentados a la ciudadanía"/>
    <s v="Trimestral"/>
    <s v="Valor alcanzado en cada trimestre. Si no se evaluó, es cero &quot;0&quot;"/>
    <n v="1"/>
    <n v="5.8333333333333336E-3"/>
    <n v="0"/>
    <m/>
    <m/>
    <m/>
    <n v="0"/>
    <s v="Suma"/>
    <n v="0"/>
    <n v="0"/>
    <s v="El informe de gestión se realiza con base en la rendición de cuentas que se elabora a final del periodo, por lo cual este indicador se ejecutará en el mes de diciembre."/>
    <m/>
    <m/>
    <m/>
  </r>
  <r>
    <n v="95"/>
    <s v="Plan de acción"/>
    <s v="3.4.6-COMUNICACIÓN PÚBLICA PARA EL FORTALECIMIENTO DE LA INSTITUCIONALIDAD Y LA CONFIANZA CIUDADANA"/>
    <x v="5"/>
    <x v="6"/>
    <x v="8"/>
    <s v="Mapa de riesgos"/>
    <s v="Revisar y/o actualizar los mapas de riesgos del área"/>
    <s v="Eficiencia"/>
    <s v="Mapas de riesgos revisado y/o actualizados"/>
    <s v="Trimestral"/>
    <s v="Valor alcanzado en cada trimestre. Si no se evaluó, es cero &quot;0&quot;"/>
    <n v="1"/>
    <n v="3.4037500000000005E-3"/>
    <n v="0"/>
    <m/>
    <m/>
    <m/>
    <n v="0"/>
    <s v="Suma"/>
    <n v="0"/>
    <n v="0"/>
    <s v="El mapa de riesgos se actualizará en el segundo trimestre del año."/>
    <m/>
    <m/>
    <m/>
  </r>
  <r>
    <n v="96"/>
    <s v="Plan de acción"/>
    <s v="3.4.6-COMUNICACIÓN PÚBLICA PARA EL FORTALECIMIENTO DE LA INSTITUCIONALIDAD Y LA CONFIANZA CIUDADANA"/>
    <x v="5"/>
    <x v="6"/>
    <x v="8"/>
    <s v="Plan Anticorrupción"/>
    <s v="Realizar seguimiento al plan de anticorrupción de Telemedellín"/>
    <s v="Eficiencia"/>
    <s v="Actividades del plan anticorrupción ejecutadas / Actividades proyectadas x 100%"/>
    <s v="Trimestral"/>
    <s v="Valor alcanzado en cada trimestre. Si no se evaluó, es cero &quot;0&quot;"/>
    <n v="0.95"/>
    <n v="4.6666666666666671E-3"/>
    <n v="7.407407407407407E-2"/>
    <m/>
    <m/>
    <m/>
    <n v="7.407407407407407E-2"/>
    <s v="Suma"/>
    <n v="7.7972709551656916E-2"/>
    <n v="3.6387264457439896E-4"/>
    <s v="Ya se han comenzado a realizar algunas actividades del plan como las asignadas a la publicación y actualización de planes en el link de transparencia de la página web de Telemedellín."/>
    <m/>
    <m/>
    <m/>
  </r>
  <r>
    <n v="97"/>
    <s v="Plan de acción"/>
    <s v="3.4.6-COMUNICACIÓN PÚBLICA PARA EL FORTALECIMIENTO DE LA INSTITUCIONALIDAD Y LA CONFIANZA CIUDADANA"/>
    <x v="5"/>
    <x v="6"/>
    <x v="9"/>
    <s v="Indice de satisfacción Cliente interno"/>
    <s v="Medir la satisfacción clientes internos"/>
    <s v="Eficiencia"/>
    <s v="% de satisfacción por dependencia"/>
    <s v="Trimestral"/>
    <s v="Valor alcanzado en cada trimestre. Si no se evaluó, es cero &quot;0&quot;"/>
    <n v="0.85"/>
    <n v="5.7999999999999996E-3"/>
    <n v="0"/>
    <m/>
    <m/>
    <m/>
    <n v="0"/>
    <s v="Máximo"/>
    <n v="0"/>
    <n v="0"/>
    <s v="Durante el primer trimestre de 2026 no se realizó la medición del índice de satisfacción del cliente interno, en coherencia con la metodología adoptada para la vigencia, la cual contempla la aplicación de una evaluación consolidada al cierre del año._x000a__x000a_Esta definición responde a la necesidad de obtener un análisis más integral del desempeño del área de Producción, evitando que los resultados se vean afectados por circunstancias particulares de periodos específicos. De esta manera, se busca recoger una percepción más completa y objetiva por parte de las diferentes áreas del canal, considerando el efecto acumulado de las acciones, ajustes y mejoras implementadas a lo largo de la vigencia, lo cual permitirá fortalecer la calidad de la información para la toma de decisiones"/>
    <m/>
    <m/>
    <m/>
  </r>
  <r>
    <n v="98"/>
    <s v="Plan de acción"/>
    <s v="3.4.6-COMUNICACIÓN PÚBLICA PARA EL FORTALECIMIENTO DE LA INSTITUCIONALIDAD Y LA CONFIANZA CIUDADANA"/>
    <x v="5"/>
    <x v="6"/>
    <x v="9"/>
    <s v="Mapa de riesgos"/>
    <s v="Revisar y/o actualizar los mapas de riesgos del área"/>
    <s v="Eficiencia"/>
    <s v="Mapas de riesgos revisado y/o actualizados"/>
    <s v="Trimestral"/>
    <s v="Valor alcanzado en cada trimestre. Si no se evaluó, es cero &quot;0&quot;"/>
    <n v="1"/>
    <n v="5.7999999999999996E-3"/>
    <n v="0"/>
    <m/>
    <m/>
    <m/>
    <n v="0"/>
    <s v="Suma"/>
    <n v="0"/>
    <n v="0"/>
    <s v="Durante el primer trimestre de 2026 no se consideró necesario realizar la actualización del Mapa de Riesgos del área de Producción, ya que no se presentaron cambios significativos en los procesos, ni en el entorno operativo que implicaran la incorporación, modificación o eliminación de riesgos identificados previamente. En este sentido, se mantiene la validez del mapa existente como herramienta de gestión y control._x000a__x000a_No obstante, el área continuará realizando seguimiento permanente a los riesgos identificados y a los controles establecidos, con el fin de detectar oportunamente cualquier situación que requiera su actualización o fortalecimiento"/>
    <m/>
    <m/>
    <m/>
  </r>
  <r>
    <n v="99"/>
    <s v="Plan de acción"/>
    <s v="3.4.6-COMUNICACIÓN PÚBLICA PARA EL FORTALECIMIENTO DE LA INSTITUCIONALIDAD Y LA CONFIANZA CIUDADANA"/>
    <x v="5"/>
    <x v="6"/>
    <x v="9"/>
    <s v="Suministro servicios de producción"/>
    <s v="Medir la eficacia en el suministro de los servicios de producción"/>
    <s v="Eficacia"/>
    <s v="(# de solicitudes atendidas / Total de solicitudes válidas recibidas) x 100%"/>
    <s v="Trimestral"/>
    <s v="Valor alcanzado en cada trimestre. Si no se evaluó, es cero &quot;0&quot;"/>
    <n v="0.9"/>
    <n v="5.8333333333333336E-3"/>
    <n v="0.97900262467191601"/>
    <m/>
    <m/>
    <m/>
    <n v="0.97900262467191601"/>
    <s v="Suma"/>
    <n v="1.0877806940799066"/>
    <n v="5.8333333333333336E-3"/>
    <s v="En el primer trimestre del 2026, se recibieron 762 solicitudes, de las cuales 746 fueron atendidas. En enero y febrero la plataforma de recursos no permitía discriminar cuales eran cancelados por falta de recursos o por el cliente. Se hizo la solicutud de mejora para discriminrar estos 2 tipos de cancelaciones, y en el mes de marzo comenzó operar. En marzo se recibieron 357 solicutudes de las cuales 4 fueron canceladas por el cliente y 4 por falta de recursos."/>
    <m/>
    <m/>
    <m/>
  </r>
  <r>
    <n v="100"/>
    <s v="Plan de acción"/>
    <s v="3.4.6-COMUNICACIÓN PÚBLICA PARA EL FORTALECIMIENTO DE LA INSTITUCIONALIDAD Y LA CONFIANZA CIUDADANA"/>
    <x v="5"/>
    <x v="6"/>
    <x v="10"/>
    <s v="Actividades FURAG - MIPG"/>
    <s v="Evaluar la ejecución actividades planeadas en Furag y MIPG"/>
    <s v="Eficiencia"/>
    <s v="# Actividades realizadas/# Actividades planeadas "/>
    <s v="Trimestral"/>
    <s v="Valor ACUMULADO en el trimestre de evaluación."/>
    <n v="1"/>
    <n v="6.0287499999999994E-3"/>
    <n v="0"/>
    <m/>
    <m/>
    <m/>
    <n v="0"/>
    <s v="Acumulado"/>
    <n v="0"/>
    <n v="0"/>
    <s v="Con la Dirección de Planeación se trabajará a partir del segundo semestre las actividades del FURAG"/>
    <m/>
    <m/>
    <m/>
  </r>
  <r>
    <n v="101"/>
    <s v="Plan de acción"/>
    <s v="3.4.6-COMUNICACIÓN PÚBLICA PARA EL FORTALECIMIENTO DE LA INSTITUCIONALIDAD Y LA CONFIANZA CIUDADANA"/>
    <x v="5"/>
    <x v="6"/>
    <x v="10"/>
    <s v="Defensa juidicial"/>
    <s v="Intervenir en el 100% de procesos judiciales y extrajudiciales en los que intervenga el canal "/>
    <s v="Efectividad"/>
    <s v="Procesos judiciales y extrajudiciales efectivamente atendidos / actuaciones judiciales y extrajudiciales notificados "/>
    <s v="Trimestral"/>
    <s v="Valor ACUMULADO en el trimestre de evaluación."/>
    <n v="1"/>
    <n v="4.6899999999999997E-3"/>
    <n v="1"/>
    <m/>
    <m/>
    <m/>
    <n v="1"/>
    <s v="Acumulado"/>
    <n v="1"/>
    <n v="4.6899999999999997E-3"/>
    <s v="Se atendieron tres (3) acciones de tutela las cuales fueron favorables a Telemedellín. Dos de ellas fueron por vinculación en relación con hechos noticiosos de presuntos hechos delictivos y una por no acceder a rectificación. "/>
    <m/>
    <m/>
    <m/>
  </r>
  <r>
    <n v="102"/>
    <s v="Plan de acción"/>
    <s v="3.4.6-COMUNICACIÓN PÚBLICA PARA EL FORTALECIMIENTO DE LA INSTITUCIONALIDAD Y LA CONFIANZA CIUDADANA"/>
    <x v="5"/>
    <x v="6"/>
    <x v="10"/>
    <s v="Indice de satisfacción Cliente interno"/>
    <s v="Medir la satisfacción clientes internos"/>
    <s v="Eficiencia"/>
    <s v="% de satisfacción por dependencia"/>
    <s v="Trimestral"/>
    <s v="Valor alcanzado en cada trimestre. Si no se evaluó, es cero &quot;0&quot;"/>
    <n v="0.85"/>
    <n v="5.2199999999999998E-3"/>
    <n v="0"/>
    <m/>
    <m/>
    <m/>
    <n v="0"/>
    <s v="Máximo"/>
    <n v="0"/>
    <n v="0"/>
    <s v="La medición esta programa para el ultimo trimestre del año."/>
    <m/>
    <m/>
    <m/>
  </r>
  <r>
    <n v="103"/>
    <s v="Plan de acción"/>
    <s v="3.4.6-COMUNICACIÓN PÚBLICA PARA EL FORTALECIMIENTO DE LA INSTITUCIONALIDAD Y LA CONFIANZA CIUDADANA"/>
    <x v="5"/>
    <x v="6"/>
    <x v="10"/>
    <s v="Cumplimiento en la publicación contractual SECOP"/>
    <s v="Asegurar el cumplimiento de la obligación de publicación contratual en SECOP "/>
    <s v="Eficiencia"/>
    <s v="(# de contratos cargados al SECOP / # Contratos solicitados) x 100%"/>
    <s v="Trimestral"/>
    <s v="Valor alcanzado en cada trimestre. Si no se evaluó, es cero &quot;0&quot;"/>
    <n v="1"/>
    <n v="8.3000000000000001E-3"/>
    <n v="1"/>
    <m/>
    <m/>
    <m/>
    <n v="1"/>
    <s v="Máximo"/>
    <n v="1"/>
    <n v="8.3000000000000001E-3"/>
    <s v="Se suscribieron 298 contratos en el trimestre correspondientes a contratoss directos y las invitaciones tanto publicas como privadas, ingresados a las diferentes plataformas de SECOP con su respectivo link y a GESTIÓN TRANST´PARENTE."/>
    <m/>
    <m/>
    <m/>
  </r>
  <r>
    <n v="104"/>
    <s v="Plan de acción"/>
    <s v="3.4.6-COMUNICACIÓN PÚBLICA PARA EL FORTALECIMIENTO DE LA INSTITUCIONALIDAD Y LA CONFIANZA CIUDADANA"/>
    <x v="5"/>
    <x v="6"/>
    <x v="10"/>
    <s v="Mapa de riesgos"/>
    <s v="Revisar y/o actualizar los mapas de riesgos del área"/>
    <s v="Eficiencia"/>
    <s v="Mapas de riesgos revisado y/o actualizados"/>
    <s v="Trimestral"/>
    <s v="Valor alcanzado en cada trimestre. Si no se evaluó, es cero &quot;0&quot;"/>
    <n v="1"/>
    <n v="3.4099999999999998E-3"/>
    <n v="0"/>
    <m/>
    <m/>
    <m/>
    <n v="0"/>
    <s v="Suma"/>
    <n v="0"/>
    <n v="0"/>
    <s v="Para el primer trismestre no se actualizó la matriz de riesgo"/>
    <m/>
    <m/>
    <m/>
  </r>
  <r>
    <n v="105"/>
    <s v="Plan de acción"/>
    <s v="3.4.6-COMUNICACIÓN PÚBLICA PARA EL FORTALECIMIENTO DE LA INSTITUCIONALIDAD Y LA CONFIANZA CIUDADANA"/>
    <x v="5"/>
    <x v="6"/>
    <x v="10"/>
    <s v="PQRSD"/>
    <s v="Medir las PQRSD respondidas en terminos de ley"/>
    <s v="Eficiencia"/>
    <s v="# de PQRS respondidas a tiempo _x000a_ / # PQRS recibidas"/>
    <s v="Trimestral"/>
    <s v="Valor ACUMULADO en el trimestre de evaluación."/>
    <n v="1"/>
    <n v="5.0000000000000001E-3"/>
    <n v="1"/>
    <m/>
    <m/>
    <m/>
    <n v="1"/>
    <s v="Final año"/>
    <n v="1"/>
    <n v="5.0000000000000001E-3"/>
    <s v="Se recibieron y respondieron 187 PQRSD entre el 1 de enero y el 31 de marzo del 2026 que reposan en la plataforma PQRSD."/>
    <m/>
    <m/>
    <m/>
  </r>
  <r>
    <n v="106"/>
    <s v="Plan de acción"/>
    <s v="3.4.6-COMUNICACIÓN PÚBLICA PARA EL FORTALECIMIENTO DE LA INSTITUCIONALIDAD Y LA CONFIANZA CIUDADANA"/>
    <x v="5"/>
    <x v="6"/>
    <x v="10"/>
    <s v="PQRSD"/>
    <s v="Generar y publicar informes de PQRSD"/>
    <s v="Eficiencia"/>
    <s v="Numero de informes PQRSD publicados"/>
    <s v="Trimestral"/>
    <s v="Valor alcanzado en cada trimestre. Si no se evaluó, es cero &quot;0&quot;"/>
    <n v="12"/>
    <n v="5.0000000000000001E-3"/>
    <n v="3"/>
    <m/>
    <m/>
    <m/>
    <n v="3"/>
    <s v="Suma"/>
    <n v="0.25"/>
    <n v="1.25E-3"/>
    <s v="Se realizaron y entregaron mes a mes los informes correspondientes a los cierres y cumplimiento de la plataforma PQRSD."/>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4" cacheId="7"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chartFormat="1">
  <location ref="A14:C22" firstHeaderRow="0" firstDataRow="1" firstDataCol="1"/>
  <pivotFields count="26">
    <pivotField showAll="0"/>
    <pivotField showAll="0"/>
    <pivotField showAll="0"/>
    <pivotField showAll="0"/>
    <pivotField axis="axisRow" showAll="0">
      <items count="13">
        <item x="1"/>
        <item x="2"/>
        <item x="5"/>
        <item x="6"/>
        <item x="4"/>
        <item x="3"/>
        <item x="0"/>
        <item m="1" x="11"/>
        <item m="1" x="9"/>
        <item m="1" x="7"/>
        <item m="1" x="10"/>
        <item m="1" x="8"/>
        <item t="default"/>
      </items>
    </pivotField>
    <pivotField showAll="0"/>
    <pivotField showAll="0"/>
    <pivotField showAll="0"/>
    <pivotField showAll="0"/>
    <pivotField showAll="0"/>
    <pivotField showAll="0"/>
    <pivotField showAll="0"/>
    <pivotField showAll="0"/>
    <pivotField dataField="1" numFmtId="10" showAll="0"/>
    <pivotField showAll="0"/>
    <pivotField showAll="0"/>
    <pivotField showAll="0"/>
    <pivotField showAll="0"/>
    <pivotField showAll="0" defaultSubtotal="0"/>
    <pivotField showAll="0"/>
    <pivotField showAll="0"/>
    <pivotField dataField="1" numFmtId="10" showAll="0"/>
    <pivotField showAll="0"/>
    <pivotField showAll="0"/>
    <pivotField showAll="0"/>
    <pivotField showAll="0"/>
  </pivotFields>
  <rowFields count="1">
    <field x="4"/>
  </rowFields>
  <rowItems count="8">
    <i>
      <x/>
    </i>
    <i>
      <x v="1"/>
    </i>
    <i>
      <x v="2"/>
    </i>
    <i>
      <x v="3"/>
    </i>
    <i>
      <x v="4"/>
    </i>
    <i>
      <x v="5"/>
    </i>
    <i>
      <x v="6"/>
    </i>
    <i t="grand">
      <x/>
    </i>
  </rowItems>
  <colFields count="1">
    <field x="-2"/>
  </colFields>
  <colItems count="2">
    <i>
      <x/>
    </i>
    <i i="1">
      <x v="1"/>
    </i>
  </colItems>
  <dataFields count="2">
    <dataField name="Suma de PONDERACIÓN" fld="13" baseField="0" baseItem="0"/>
    <dataField name="Suma de Total alcanzado ponderado" fld="21" baseField="0" baseItem="0"/>
  </dataFields>
  <formats count="3">
    <format dxfId="2">
      <pivotArea outline="0" collapsedLevelsAreSubtotals="1" fieldPosition="0"/>
    </format>
    <format dxfId="1">
      <pivotArea outline="0" collapsedLevelsAreSubtotals="1" fieldPosition="0"/>
    </format>
    <format dxfId="0">
      <pivotArea dataOnly="0" labelOnly="1" outline="0" fieldPosition="0">
        <references count="1">
          <reference field="4294967294" count="1">
            <x v="0"/>
          </reference>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2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2" cacheId="7"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location ref="A3:C10" firstHeaderRow="0" firstDataRow="1" firstDataCol="1"/>
  <pivotFields count="26">
    <pivotField showAll="0"/>
    <pivotField showAll="0"/>
    <pivotField showAll="0"/>
    <pivotField axis="axisRow" showAll="0">
      <items count="7">
        <item x="3"/>
        <item x="2"/>
        <item x="0"/>
        <item x="1"/>
        <item x="5"/>
        <item x="4"/>
        <item t="default"/>
      </items>
    </pivotField>
    <pivotField showAll="0"/>
    <pivotField showAll="0"/>
    <pivotField showAll="0"/>
    <pivotField showAll="0"/>
    <pivotField showAll="0"/>
    <pivotField showAll="0"/>
    <pivotField showAll="0"/>
    <pivotField showAll="0"/>
    <pivotField showAll="0"/>
    <pivotField dataField="1" numFmtId="10" showAll="0"/>
    <pivotField showAll="0"/>
    <pivotField showAll="0"/>
    <pivotField showAll="0"/>
    <pivotField showAll="0"/>
    <pivotField showAll="0" defaultSubtotal="0"/>
    <pivotField showAll="0"/>
    <pivotField showAll="0"/>
    <pivotField dataField="1" numFmtId="10" showAll="0"/>
    <pivotField showAll="0"/>
    <pivotField showAll="0"/>
    <pivotField showAll="0"/>
    <pivotField showAll="0"/>
  </pivotFields>
  <rowFields count="1">
    <field x="3"/>
  </rowFields>
  <rowItems count="7">
    <i>
      <x/>
    </i>
    <i>
      <x v="1"/>
    </i>
    <i>
      <x v="2"/>
    </i>
    <i>
      <x v="3"/>
    </i>
    <i>
      <x v="4"/>
    </i>
    <i>
      <x v="5"/>
    </i>
    <i t="grand">
      <x/>
    </i>
  </rowItems>
  <colFields count="1">
    <field x="-2"/>
  </colFields>
  <colItems count="2">
    <i>
      <x/>
    </i>
    <i i="1">
      <x v="1"/>
    </i>
  </colItems>
  <dataFields count="2">
    <dataField name="Suma de PONDERACIÓN" fld="13" baseField="0" baseItem="0"/>
    <dataField name="Suma de Total alcanzado ponderado" fld="21" baseField="0" baseItem="0"/>
  </dataFields>
  <formats count="4">
    <format dxfId="6">
      <pivotArea collapsedLevelsAreSubtotals="1" fieldPosition="0">
        <references count="1">
          <reference field="3" count="0"/>
        </references>
      </pivotArea>
    </format>
    <format dxfId="5">
      <pivotArea outline="0" collapsedLevelsAreSubtotals="1" fieldPosition="0"/>
    </format>
    <format dxfId="4">
      <pivotArea dataOnly="0" labelOnly="1" outline="0" fieldPosition="0">
        <references count="1">
          <reference field="4294967294" count="1">
            <x v="0"/>
          </reference>
        </references>
      </pivotArea>
    </format>
    <format dxfId="3">
      <pivotArea grandRow="1" outline="0" collapsedLevelsAreSubtotals="1" fieldPosition="0"/>
    </format>
  </format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5" cacheId="7"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chartFormat="1">
  <location ref="A25:C37" firstHeaderRow="0" firstDataRow="1" firstDataCol="1"/>
  <pivotFields count="26">
    <pivotField showAll="0"/>
    <pivotField showAll="0"/>
    <pivotField showAll="0"/>
    <pivotField showAll="0"/>
    <pivotField showAll="0"/>
    <pivotField axis="axisRow" showAll="0">
      <items count="12">
        <item x="6"/>
        <item x="7"/>
        <item x="4"/>
        <item x="0"/>
        <item x="1"/>
        <item x="2"/>
        <item x="3"/>
        <item x="5"/>
        <item x="8"/>
        <item x="9"/>
        <item x="10"/>
        <item t="default"/>
      </items>
    </pivotField>
    <pivotField showAll="0"/>
    <pivotField showAll="0"/>
    <pivotField showAll="0"/>
    <pivotField showAll="0"/>
    <pivotField showAll="0"/>
    <pivotField showAll="0"/>
    <pivotField showAll="0"/>
    <pivotField dataField="1" numFmtId="10" showAll="0"/>
    <pivotField showAll="0"/>
    <pivotField showAll="0"/>
    <pivotField showAll="0"/>
    <pivotField showAll="0"/>
    <pivotField showAll="0" defaultSubtotal="0"/>
    <pivotField showAll="0"/>
    <pivotField showAll="0"/>
    <pivotField dataField="1" numFmtId="10" showAll="0"/>
    <pivotField showAll="0"/>
    <pivotField showAll="0"/>
    <pivotField showAll="0"/>
    <pivotField showAll="0"/>
  </pivotFields>
  <rowFields count="1">
    <field x="5"/>
  </rowFields>
  <rowItems count="12">
    <i>
      <x/>
    </i>
    <i>
      <x v="1"/>
    </i>
    <i>
      <x v="2"/>
    </i>
    <i>
      <x v="3"/>
    </i>
    <i>
      <x v="4"/>
    </i>
    <i>
      <x v="5"/>
    </i>
    <i>
      <x v="6"/>
    </i>
    <i>
      <x v="7"/>
    </i>
    <i>
      <x v="8"/>
    </i>
    <i>
      <x v="9"/>
    </i>
    <i>
      <x v="10"/>
    </i>
    <i t="grand">
      <x/>
    </i>
  </rowItems>
  <colFields count="1">
    <field x="-2"/>
  </colFields>
  <colItems count="2">
    <i>
      <x/>
    </i>
    <i i="1">
      <x v="1"/>
    </i>
  </colItems>
  <dataFields count="2">
    <dataField name="Suma de PONDERACIÓN" fld="13" baseField="0" baseItem="0"/>
    <dataField name="Suma de Total alcanzado ponderado" fld="21" baseField="0" baseItem="0"/>
  </dataFields>
  <formats count="5">
    <format dxfId="11">
      <pivotArea outline="0" collapsedLevelsAreSubtotals="1" fieldPosition="0"/>
    </format>
    <format dxfId="10">
      <pivotArea outline="0" collapsedLevelsAreSubtotals="1" fieldPosition="0"/>
    </format>
    <format dxfId="9">
      <pivotArea dataOnly="0" labelOnly="1" outline="0" fieldPosition="0">
        <references count="1">
          <reference field="4294967294" count="1">
            <x v="0"/>
          </reference>
        </references>
      </pivotArea>
    </format>
    <format dxfId="8">
      <pivotArea collapsedLevelsAreSubtotals="1" fieldPosition="0">
        <references count="2">
          <reference field="4294967294" count="1" selected="0">
            <x v="1"/>
          </reference>
          <reference field="5" count="0"/>
        </references>
      </pivotArea>
    </format>
    <format dxfId="7">
      <pivotArea collapsedLevelsAreSubtotals="1" fieldPosition="0">
        <references count="2">
          <reference field="4294967294" count="1" selected="0">
            <x v="0"/>
          </reference>
          <reference field="5" count="0"/>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Z143"/>
  <sheetViews>
    <sheetView showGridLines="0" tabSelected="1" zoomScale="70" zoomScaleNormal="70" zoomScalePageLayoutView="70" workbookViewId="0">
      <pane ySplit="9" topLeftCell="A10" activePane="bottomLeft" state="frozen"/>
      <selection activeCell="E1" sqref="E1"/>
      <selection pane="bottomLeft" activeCell="D14" sqref="D14"/>
    </sheetView>
  </sheetViews>
  <sheetFormatPr baseColWidth="10" defaultColWidth="10.85546875" defaultRowHeight="12.75" x14ac:dyDescent="0.2"/>
  <cols>
    <col min="1" max="1" width="11" style="1" customWidth="1"/>
    <col min="2" max="2" width="13" style="1" customWidth="1"/>
    <col min="3" max="3" width="21.5703125" style="1" customWidth="1"/>
    <col min="4" max="4" width="23.7109375" style="1" customWidth="1"/>
    <col min="5" max="5" width="21.140625" style="1" customWidth="1"/>
    <col min="6" max="6" width="19.42578125" style="1" bestFit="1" customWidth="1"/>
    <col min="7" max="7" width="15.42578125" style="1" customWidth="1"/>
    <col min="8" max="8" width="25.42578125" style="1" customWidth="1"/>
    <col min="9" max="9" width="12.28515625" style="1" customWidth="1"/>
    <col min="10" max="10" width="23.28515625" style="1" customWidth="1"/>
    <col min="11" max="12" width="15.28515625" style="1" customWidth="1"/>
    <col min="13" max="13" width="24.28515625" style="40" customWidth="1"/>
    <col min="14" max="14" width="12.140625" style="1" customWidth="1"/>
    <col min="15" max="15" width="20.5703125" style="40" bestFit="1" customWidth="1"/>
    <col min="16" max="17" width="21" style="40" bestFit="1" customWidth="1"/>
    <col min="18" max="18" width="19.85546875" style="40" customWidth="1"/>
    <col min="19" max="19" width="24" style="1" bestFit="1" customWidth="1"/>
    <col min="20" max="20" width="15" style="1" customWidth="1"/>
    <col min="21" max="21" width="14" style="1" customWidth="1"/>
    <col min="22" max="22" width="17.85546875" style="1" customWidth="1"/>
    <col min="23" max="23" width="56.85546875" style="1" customWidth="1"/>
    <col min="24" max="24" width="31" style="1" customWidth="1"/>
    <col min="25" max="25" width="38.140625" style="1" customWidth="1"/>
    <col min="26" max="26" width="40.42578125" style="1" customWidth="1"/>
    <col min="27" max="16384" width="10.85546875" style="1"/>
  </cols>
  <sheetData>
    <row r="1" spans="1:26" ht="24.75" customHeight="1" x14ac:dyDescent="0.2">
      <c r="A1" s="121"/>
      <c r="B1" s="121"/>
      <c r="C1" s="121"/>
      <c r="D1" s="121"/>
      <c r="E1" s="122" t="s">
        <v>0</v>
      </c>
      <c r="F1" s="123"/>
      <c r="G1" s="123"/>
      <c r="H1" s="123"/>
      <c r="I1" s="123"/>
      <c r="J1" s="123"/>
      <c r="K1" s="123"/>
      <c r="L1" s="123"/>
      <c r="M1" s="124"/>
      <c r="N1" s="123"/>
      <c r="O1" s="123"/>
      <c r="P1" s="123"/>
      <c r="Q1" s="123"/>
      <c r="R1" s="123"/>
      <c r="S1" s="123"/>
      <c r="T1" s="123"/>
      <c r="U1" s="123"/>
      <c r="V1" s="123"/>
      <c r="W1" s="123"/>
      <c r="X1" s="123"/>
      <c r="Y1" s="123"/>
      <c r="Z1" s="125"/>
    </row>
    <row r="2" spans="1:26" ht="24.75" customHeight="1" x14ac:dyDescent="0.2">
      <c r="A2" s="121"/>
      <c r="B2" s="121"/>
      <c r="C2" s="121"/>
      <c r="D2" s="121"/>
      <c r="E2" s="126"/>
      <c r="F2" s="127"/>
      <c r="G2" s="127"/>
      <c r="H2" s="127"/>
      <c r="I2" s="127"/>
      <c r="J2" s="127"/>
      <c r="K2" s="127"/>
      <c r="L2" s="127"/>
      <c r="M2" s="128"/>
      <c r="N2" s="127"/>
      <c r="O2" s="127"/>
      <c r="P2" s="127"/>
      <c r="Q2" s="127"/>
      <c r="R2" s="127"/>
      <c r="S2" s="127"/>
      <c r="T2" s="127"/>
      <c r="U2" s="127"/>
      <c r="V2" s="127"/>
      <c r="W2" s="127"/>
      <c r="X2" s="127"/>
      <c r="Y2" s="127"/>
      <c r="Z2" s="129"/>
    </row>
    <row r="3" spans="1:26" ht="24.75" customHeight="1" x14ac:dyDescent="0.2">
      <c r="A3" s="121"/>
      <c r="B3" s="121"/>
      <c r="C3" s="121"/>
      <c r="D3" s="121"/>
      <c r="E3" s="130"/>
      <c r="F3" s="131"/>
      <c r="G3" s="131"/>
      <c r="H3" s="131"/>
      <c r="I3" s="131"/>
      <c r="J3" s="131"/>
      <c r="K3" s="131"/>
      <c r="L3" s="131"/>
      <c r="M3" s="132"/>
      <c r="N3" s="131"/>
      <c r="O3" s="131"/>
      <c r="P3" s="131"/>
      <c r="Q3" s="131"/>
      <c r="R3" s="131"/>
      <c r="S3" s="131"/>
      <c r="T3" s="131"/>
      <c r="U3" s="131"/>
      <c r="V3" s="131"/>
      <c r="W3" s="131"/>
      <c r="X3" s="131"/>
      <c r="Y3" s="131"/>
      <c r="Z3" s="133"/>
    </row>
    <row r="4" spans="1:26" x14ac:dyDescent="0.2">
      <c r="A4" s="134" t="s">
        <v>266</v>
      </c>
      <c r="B4" s="134"/>
      <c r="C4" s="134"/>
      <c r="D4" s="134"/>
      <c r="E4" s="134"/>
      <c r="F4" s="134"/>
      <c r="G4" s="134"/>
      <c r="H4" s="134"/>
      <c r="I4" s="134"/>
      <c r="J4" s="134"/>
      <c r="K4" s="134"/>
      <c r="L4" s="134"/>
      <c r="M4" s="135"/>
      <c r="N4" s="134"/>
      <c r="O4" s="136"/>
      <c r="P4" s="136"/>
      <c r="Q4" s="136"/>
      <c r="R4" s="136"/>
      <c r="S4" s="134"/>
      <c r="T4" s="134"/>
      <c r="U4" s="134"/>
      <c r="V4" s="134"/>
      <c r="W4" s="134"/>
      <c r="X4" s="134"/>
      <c r="Y4" s="134"/>
      <c r="Z4" s="134"/>
    </row>
    <row r="5" spans="1:26" x14ac:dyDescent="0.2">
      <c r="A5" s="134" t="s">
        <v>265</v>
      </c>
      <c r="B5" s="134"/>
      <c r="C5" s="134"/>
      <c r="D5" s="134"/>
      <c r="E5" s="134"/>
      <c r="F5" s="134"/>
      <c r="G5" s="134"/>
      <c r="H5" s="134"/>
      <c r="I5" s="134"/>
      <c r="J5" s="134"/>
      <c r="K5" s="134"/>
      <c r="L5" s="134"/>
      <c r="M5" s="135"/>
      <c r="N5" s="134"/>
      <c r="O5" s="136"/>
      <c r="P5" s="136"/>
      <c r="Q5" s="136"/>
      <c r="R5" s="136"/>
      <c r="S5" s="134"/>
      <c r="T5" s="134"/>
      <c r="U5" s="134"/>
      <c r="V5" s="134"/>
      <c r="W5" s="134"/>
      <c r="X5" s="134"/>
      <c r="Y5" s="134"/>
      <c r="Z5" s="134"/>
    </row>
    <row r="6" spans="1:26" ht="15" customHeight="1" x14ac:dyDescent="0.2">
      <c r="A6" s="134" t="s">
        <v>326</v>
      </c>
      <c r="B6" s="134"/>
      <c r="C6" s="134"/>
      <c r="D6" s="134"/>
      <c r="E6" s="134"/>
      <c r="F6" s="134"/>
      <c r="G6" s="134"/>
      <c r="H6" s="134"/>
      <c r="I6" s="134"/>
      <c r="J6" s="134"/>
      <c r="K6" s="134"/>
      <c r="L6" s="134"/>
      <c r="M6" s="135"/>
      <c r="N6" s="134"/>
      <c r="O6" s="136"/>
      <c r="P6" s="136"/>
      <c r="Q6" s="136"/>
      <c r="R6" s="136"/>
      <c r="S6" s="134"/>
      <c r="T6" s="134"/>
      <c r="U6" s="134"/>
      <c r="V6" s="134"/>
      <c r="W6" s="134"/>
      <c r="X6" s="134"/>
      <c r="Y6" s="134"/>
      <c r="Z6" s="134"/>
    </row>
    <row r="7" spans="1:26" x14ac:dyDescent="0.2">
      <c r="A7" s="117"/>
      <c r="B7" s="118"/>
      <c r="C7" s="118"/>
      <c r="D7" s="118"/>
      <c r="E7" s="118"/>
      <c r="F7" s="118"/>
      <c r="G7" s="118"/>
      <c r="H7" s="118"/>
      <c r="I7" s="118"/>
      <c r="J7" s="118"/>
      <c r="K7" s="118"/>
      <c r="L7" s="118"/>
      <c r="M7" s="119"/>
      <c r="N7" s="118"/>
      <c r="O7" s="118"/>
      <c r="P7" s="118"/>
      <c r="Q7" s="118"/>
      <c r="R7" s="118"/>
      <c r="S7" s="118"/>
      <c r="T7" s="118"/>
      <c r="U7" s="118"/>
      <c r="V7" s="118"/>
      <c r="W7" s="118"/>
      <c r="X7" s="118"/>
      <c r="Y7" s="118"/>
      <c r="Z7" s="120"/>
    </row>
    <row r="8" spans="1:26" ht="15.75" customHeight="1" x14ac:dyDescent="0.2">
      <c r="A8" s="109" t="s">
        <v>1</v>
      </c>
      <c r="B8" s="109"/>
      <c r="C8" s="109"/>
      <c r="D8" s="109"/>
      <c r="E8" s="109"/>
      <c r="F8" s="109"/>
      <c r="G8" s="109"/>
      <c r="H8" s="109"/>
      <c r="I8" s="109"/>
      <c r="J8" s="109"/>
      <c r="K8" s="109"/>
      <c r="L8" s="109"/>
      <c r="M8" s="110"/>
      <c r="N8" s="109"/>
      <c r="O8" s="111" t="s">
        <v>2</v>
      </c>
      <c r="P8" s="112"/>
      <c r="Q8" s="112"/>
      <c r="R8" s="112"/>
      <c r="S8" s="112"/>
      <c r="T8" s="112"/>
      <c r="U8" s="112"/>
      <c r="V8" s="113"/>
      <c r="W8" s="114" t="s">
        <v>3</v>
      </c>
      <c r="X8" s="115"/>
      <c r="Y8" s="115"/>
      <c r="Z8" s="116"/>
    </row>
    <row r="9" spans="1:26" ht="51.75" customHeight="1" x14ac:dyDescent="0.2">
      <c r="A9" s="2" t="s">
        <v>29</v>
      </c>
      <c r="B9" s="2" t="s">
        <v>250</v>
      </c>
      <c r="C9" s="2" t="s">
        <v>4</v>
      </c>
      <c r="D9" s="2" t="s">
        <v>5</v>
      </c>
      <c r="E9" s="2" t="s">
        <v>6</v>
      </c>
      <c r="F9" s="2" t="s">
        <v>8</v>
      </c>
      <c r="G9" s="2" t="s">
        <v>18</v>
      </c>
      <c r="H9" s="3" t="s">
        <v>19</v>
      </c>
      <c r="I9" s="2" t="s">
        <v>20</v>
      </c>
      <c r="J9" s="2" t="s">
        <v>21</v>
      </c>
      <c r="K9" s="3" t="s">
        <v>22</v>
      </c>
      <c r="L9" s="2" t="s">
        <v>241</v>
      </c>
      <c r="M9" s="3" t="s">
        <v>23</v>
      </c>
      <c r="N9" s="15" t="s">
        <v>7</v>
      </c>
      <c r="O9" s="16" t="s">
        <v>9</v>
      </c>
      <c r="P9" s="16" t="s">
        <v>10</v>
      </c>
      <c r="Q9" s="16" t="s">
        <v>11</v>
      </c>
      <c r="R9" s="16" t="s">
        <v>12</v>
      </c>
      <c r="S9" s="16" t="s">
        <v>327</v>
      </c>
      <c r="T9" s="15" t="s">
        <v>241</v>
      </c>
      <c r="U9" s="15" t="s">
        <v>13</v>
      </c>
      <c r="V9" s="15" t="s">
        <v>270</v>
      </c>
      <c r="W9" s="16" t="s">
        <v>14</v>
      </c>
      <c r="X9" s="16" t="s">
        <v>15</v>
      </c>
      <c r="Y9" s="16" t="s">
        <v>16</v>
      </c>
      <c r="Z9" s="16" t="s">
        <v>17</v>
      </c>
    </row>
    <row r="10" spans="1:26" s="6" customFormat="1" ht="112.5" customHeight="1" x14ac:dyDescent="0.2">
      <c r="A10" s="70">
        <v>1</v>
      </c>
      <c r="B10" s="11" t="s">
        <v>251</v>
      </c>
      <c r="C10" s="12" t="s">
        <v>30</v>
      </c>
      <c r="D10" s="20" t="s">
        <v>259</v>
      </c>
      <c r="E10" s="22" t="s">
        <v>31</v>
      </c>
      <c r="F10" s="14" t="s">
        <v>38</v>
      </c>
      <c r="G10" s="5" t="s">
        <v>49</v>
      </c>
      <c r="H10" s="5" t="s">
        <v>50</v>
      </c>
      <c r="I10" s="5" t="s">
        <v>252</v>
      </c>
      <c r="J10" s="5" t="s">
        <v>182</v>
      </c>
      <c r="K10" s="5" t="s">
        <v>27</v>
      </c>
      <c r="L10" s="5" t="s">
        <v>242</v>
      </c>
      <c r="M10" s="24">
        <v>4</v>
      </c>
      <c r="N10" s="4">
        <v>1.9699999999999999E-2</v>
      </c>
      <c r="O10" s="28">
        <v>0</v>
      </c>
      <c r="P10" s="28"/>
      <c r="Q10" s="28"/>
      <c r="R10" s="28"/>
      <c r="S10" s="43">
        <f>+MIN(O10:R10)</f>
        <v>0</v>
      </c>
      <c r="T10" s="42" t="s">
        <v>244</v>
      </c>
      <c r="U10" s="17">
        <f t="shared" ref="U10:U41" si="0">+S10/M10</f>
        <v>0</v>
      </c>
      <c r="V10" s="13">
        <f t="shared" ref="V10:V41" si="1">+IF(U10&lt;=100%,U10*N10,N10)</f>
        <v>0</v>
      </c>
      <c r="W10" s="58" t="s">
        <v>355</v>
      </c>
      <c r="X10" s="58"/>
      <c r="Y10" s="58"/>
      <c r="Z10" s="58"/>
    </row>
    <row r="11" spans="1:26" s="6" customFormat="1" ht="114" customHeight="1" x14ac:dyDescent="0.2">
      <c r="A11" s="70">
        <v>2</v>
      </c>
      <c r="B11" s="11" t="s">
        <v>251</v>
      </c>
      <c r="C11" s="12" t="s">
        <v>30</v>
      </c>
      <c r="D11" s="20" t="s">
        <v>259</v>
      </c>
      <c r="E11" s="22" t="s">
        <v>31</v>
      </c>
      <c r="F11" s="14" t="s">
        <v>38</v>
      </c>
      <c r="G11" s="5" t="s">
        <v>51</v>
      </c>
      <c r="H11" s="5" t="s">
        <v>52</v>
      </c>
      <c r="I11" s="5" t="s">
        <v>252</v>
      </c>
      <c r="J11" s="5" t="s">
        <v>51</v>
      </c>
      <c r="K11" s="5" t="s">
        <v>27</v>
      </c>
      <c r="L11" s="5" t="s">
        <v>242</v>
      </c>
      <c r="M11" s="27">
        <v>7.0000000000000007E-2</v>
      </c>
      <c r="N11" s="4">
        <v>1.9699999999999999E-2</v>
      </c>
      <c r="O11" s="29">
        <v>0</v>
      </c>
      <c r="P11" s="29"/>
      <c r="Q11" s="29"/>
      <c r="R11" s="29"/>
      <c r="S11" s="44">
        <f>+MAX(O11:R11)</f>
        <v>0</v>
      </c>
      <c r="T11" s="42" t="s">
        <v>245</v>
      </c>
      <c r="U11" s="17">
        <f t="shared" si="0"/>
        <v>0</v>
      </c>
      <c r="V11" s="13">
        <f t="shared" si="1"/>
        <v>0</v>
      </c>
      <c r="W11" s="58" t="s">
        <v>356</v>
      </c>
      <c r="X11" s="58"/>
      <c r="Y11" s="58"/>
      <c r="Z11" s="58"/>
    </row>
    <row r="12" spans="1:26" s="6" customFormat="1" ht="146.25" customHeight="1" x14ac:dyDescent="0.2">
      <c r="A12" s="70">
        <v>3</v>
      </c>
      <c r="B12" s="11" t="s">
        <v>251</v>
      </c>
      <c r="C12" s="12" t="s">
        <v>30</v>
      </c>
      <c r="D12" s="20" t="s">
        <v>259</v>
      </c>
      <c r="E12" s="22" t="s">
        <v>31</v>
      </c>
      <c r="F12" s="14" t="s">
        <v>38</v>
      </c>
      <c r="G12" s="5" t="s">
        <v>53</v>
      </c>
      <c r="H12" s="5" t="s">
        <v>54</v>
      </c>
      <c r="I12" s="5" t="s">
        <v>252</v>
      </c>
      <c r="J12" s="5" t="s">
        <v>183</v>
      </c>
      <c r="K12" s="5" t="s">
        <v>27</v>
      </c>
      <c r="L12" s="5" t="s">
        <v>274</v>
      </c>
      <c r="M12" s="67">
        <v>1.5</v>
      </c>
      <c r="N12" s="4">
        <v>2.63E-2</v>
      </c>
      <c r="O12" s="30">
        <v>3.39</v>
      </c>
      <c r="P12" s="30"/>
      <c r="Q12" s="30"/>
      <c r="R12" s="30"/>
      <c r="S12" s="45">
        <f>+MAX(O12:R12)</f>
        <v>3.39</v>
      </c>
      <c r="T12" s="42" t="s">
        <v>246</v>
      </c>
      <c r="U12" s="17">
        <f t="shared" si="0"/>
        <v>2.2600000000000002</v>
      </c>
      <c r="V12" s="13">
        <f t="shared" si="1"/>
        <v>2.63E-2</v>
      </c>
      <c r="W12" s="58" t="s">
        <v>357</v>
      </c>
      <c r="X12" s="58"/>
      <c r="Y12" s="58"/>
      <c r="Z12" s="58"/>
    </row>
    <row r="13" spans="1:26" s="6" customFormat="1" ht="128.25" customHeight="1" x14ac:dyDescent="0.2">
      <c r="A13" s="70">
        <v>4</v>
      </c>
      <c r="B13" s="11" t="s">
        <v>251</v>
      </c>
      <c r="C13" s="12" t="s">
        <v>30</v>
      </c>
      <c r="D13" s="20" t="s">
        <v>259</v>
      </c>
      <c r="E13" s="22" t="s">
        <v>31</v>
      </c>
      <c r="F13" s="14" t="s">
        <v>38</v>
      </c>
      <c r="G13" s="5" t="s">
        <v>55</v>
      </c>
      <c r="H13" s="5" t="s">
        <v>56</v>
      </c>
      <c r="I13" s="5" t="s">
        <v>253</v>
      </c>
      <c r="J13" s="5" t="s">
        <v>184</v>
      </c>
      <c r="K13" s="5" t="s">
        <v>27</v>
      </c>
      <c r="L13" s="5" t="s">
        <v>242</v>
      </c>
      <c r="M13" s="41">
        <v>1500</v>
      </c>
      <c r="N13" s="4">
        <v>2.63E-2</v>
      </c>
      <c r="O13" s="31">
        <v>412.2</v>
      </c>
      <c r="P13" s="31"/>
      <c r="Q13" s="31"/>
      <c r="R13" s="31"/>
      <c r="S13" s="46">
        <f>SUM(O13:R13)</f>
        <v>412.2</v>
      </c>
      <c r="T13" s="42" t="s">
        <v>247</v>
      </c>
      <c r="U13" s="17">
        <f t="shared" si="0"/>
        <v>0.27479999999999999</v>
      </c>
      <c r="V13" s="13">
        <f t="shared" si="1"/>
        <v>7.2272400000000002E-3</v>
      </c>
      <c r="W13" s="58" t="s">
        <v>358</v>
      </c>
      <c r="X13" s="58"/>
      <c r="Y13" s="58"/>
      <c r="Z13" s="58"/>
    </row>
    <row r="14" spans="1:26" s="6" customFormat="1" ht="94.5" customHeight="1" x14ac:dyDescent="0.2">
      <c r="A14" s="70">
        <v>5</v>
      </c>
      <c r="B14" s="11" t="s">
        <v>251</v>
      </c>
      <c r="C14" s="12" t="s">
        <v>30</v>
      </c>
      <c r="D14" s="20" t="s">
        <v>259</v>
      </c>
      <c r="E14" s="22" t="s">
        <v>31</v>
      </c>
      <c r="F14" s="14" t="s">
        <v>38</v>
      </c>
      <c r="G14" s="5" t="s">
        <v>57</v>
      </c>
      <c r="H14" s="5" t="s">
        <v>58</v>
      </c>
      <c r="I14" s="5" t="s">
        <v>252</v>
      </c>
      <c r="J14" s="5" t="s">
        <v>185</v>
      </c>
      <c r="K14" s="5" t="s">
        <v>27</v>
      </c>
      <c r="L14" s="5" t="s">
        <v>274</v>
      </c>
      <c r="M14" s="93">
        <v>1</v>
      </c>
      <c r="N14" s="4">
        <v>1.95E-2</v>
      </c>
      <c r="O14" s="30">
        <v>2.19</v>
      </c>
      <c r="P14" s="30"/>
      <c r="Q14" s="30"/>
      <c r="R14" s="30"/>
      <c r="S14" s="45">
        <f>+MAX(O14:R14)</f>
        <v>2.19</v>
      </c>
      <c r="T14" s="42" t="s">
        <v>246</v>
      </c>
      <c r="U14" s="17">
        <f t="shared" si="0"/>
        <v>2.19</v>
      </c>
      <c r="V14" s="13">
        <f t="shared" si="1"/>
        <v>1.95E-2</v>
      </c>
      <c r="W14" s="58" t="s">
        <v>359</v>
      </c>
      <c r="X14" s="58"/>
      <c r="Y14" s="58"/>
      <c r="Z14" s="58"/>
    </row>
    <row r="15" spans="1:26" s="6" customFormat="1" ht="94.5" customHeight="1" x14ac:dyDescent="0.2">
      <c r="A15" s="70">
        <v>6</v>
      </c>
      <c r="B15" s="11" t="s">
        <v>251</v>
      </c>
      <c r="C15" s="12" t="s">
        <v>30</v>
      </c>
      <c r="D15" s="20" t="s">
        <v>259</v>
      </c>
      <c r="E15" s="22" t="s">
        <v>31</v>
      </c>
      <c r="F15" s="14" t="s">
        <v>38</v>
      </c>
      <c r="G15" s="5" t="s">
        <v>59</v>
      </c>
      <c r="H15" s="5" t="s">
        <v>60</v>
      </c>
      <c r="I15" s="5" t="s">
        <v>253</v>
      </c>
      <c r="J15" s="5" t="s">
        <v>186</v>
      </c>
      <c r="K15" s="5" t="s">
        <v>27</v>
      </c>
      <c r="L15" s="5" t="s">
        <v>242</v>
      </c>
      <c r="M15" s="41">
        <v>1200</v>
      </c>
      <c r="N15" s="4">
        <v>2.6000000000000002E-2</v>
      </c>
      <c r="O15" s="31">
        <v>230.2</v>
      </c>
      <c r="P15" s="31"/>
      <c r="Q15" s="31"/>
      <c r="R15" s="60"/>
      <c r="S15" s="46">
        <f t="shared" ref="S15:S20" si="2">SUM(O15:R15)</f>
        <v>230.2</v>
      </c>
      <c r="T15" s="42" t="s">
        <v>247</v>
      </c>
      <c r="U15" s="17">
        <f t="shared" si="0"/>
        <v>0.19183333333333333</v>
      </c>
      <c r="V15" s="13">
        <f t="shared" si="1"/>
        <v>4.9876666666666672E-3</v>
      </c>
      <c r="W15" s="58" t="s">
        <v>360</v>
      </c>
      <c r="X15" s="58"/>
      <c r="Y15" s="58"/>
      <c r="Z15" s="58"/>
    </row>
    <row r="16" spans="1:26" s="6" customFormat="1" ht="106.5" customHeight="1" x14ac:dyDescent="0.2">
      <c r="A16" s="70">
        <v>7</v>
      </c>
      <c r="B16" s="11" t="s">
        <v>251</v>
      </c>
      <c r="C16" s="12" t="s">
        <v>30</v>
      </c>
      <c r="D16" s="20" t="s">
        <v>259</v>
      </c>
      <c r="E16" s="22" t="s">
        <v>31</v>
      </c>
      <c r="F16" s="14" t="s">
        <v>38</v>
      </c>
      <c r="G16" s="5" t="s">
        <v>61</v>
      </c>
      <c r="H16" s="5" t="s">
        <v>62</v>
      </c>
      <c r="I16" s="5" t="s">
        <v>253</v>
      </c>
      <c r="J16" s="5" t="s">
        <v>187</v>
      </c>
      <c r="K16" s="5" t="s">
        <v>27</v>
      </c>
      <c r="L16" s="5" t="s">
        <v>242</v>
      </c>
      <c r="M16" s="41">
        <v>248</v>
      </c>
      <c r="N16" s="4">
        <v>3.2500000000000001E-2</v>
      </c>
      <c r="O16" s="96">
        <v>39.700000000000003</v>
      </c>
      <c r="P16" s="31"/>
      <c r="Q16" s="31"/>
      <c r="R16" s="60"/>
      <c r="S16" s="46">
        <f t="shared" si="2"/>
        <v>39.700000000000003</v>
      </c>
      <c r="T16" s="42" t="s">
        <v>247</v>
      </c>
      <c r="U16" s="17">
        <f t="shared" si="0"/>
        <v>0.16008064516129034</v>
      </c>
      <c r="V16" s="13">
        <f t="shared" si="1"/>
        <v>5.2026209677419359E-3</v>
      </c>
      <c r="W16" s="58" t="s">
        <v>361</v>
      </c>
      <c r="X16" s="58"/>
      <c r="Y16" s="58"/>
      <c r="Z16" s="58"/>
    </row>
    <row r="17" spans="1:26" s="6" customFormat="1" ht="94.5" customHeight="1" x14ac:dyDescent="0.2">
      <c r="A17" s="70">
        <v>8</v>
      </c>
      <c r="B17" s="11" t="s">
        <v>251</v>
      </c>
      <c r="C17" s="12" t="s">
        <v>30</v>
      </c>
      <c r="D17" s="20" t="s">
        <v>259</v>
      </c>
      <c r="E17" s="22" t="s">
        <v>31</v>
      </c>
      <c r="F17" s="14" t="s">
        <v>38</v>
      </c>
      <c r="G17" s="5" t="s">
        <v>63</v>
      </c>
      <c r="H17" s="5" t="s">
        <v>64</v>
      </c>
      <c r="I17" s="5" t="s">
        <v>253</v>
      </c>
      <c r="J17" s="5" t="s">
        <v>188</v>
      </c>
      <c r="K17" s="5" t="s">
        <v>27</v>
      </c>
      <c r="L17" s="5" t="s">
        <v>242</v>
      </c>
      <c r="M17" s="24">
        <v>3</v>
      </c>
      <c r="N17" s="4">
        <v>6.5000000000000006E-3</v>
      </c>
      <c r="O17" s="97">
        <v>0</v>
      </c>
      <c r="P17" s="28"/>
      <c r="Q17" s="28"/>
      <c r="R17" s="28"/>
      <c r="S17" s="43">
        <f t="shared" si="2"/>
        <v>0</v>
      </c>
      <c r="T17" s="42" t="s">
        <v>247</v>
      </c>
      <c r="U17" s="17">
        <f t="shared" si="0"/>
        <v>0</v>
      </c>
      <c r="V17" s="13">
        <f t="shared" si="1"/>
        <v>0</v>
      </c>
      <c r="W17" s="58" t="s">
        <v>362</v>
      </c>
      <c r="X17" s="58"/>
      <c r="Y17" s="58"/>
      <c r="Z17" s="58"/>
    </row>
    <row r="18" spans="1:26" s="6" customFormat="1" ht="94.5" customHeight="1" x14ac:dyDescent="0.2">
      <c r="A18" s="70">
        <v>9</v>
      </c>
      <c r="B18" s="11" t="s">
        <v>251</v>
      </c>
      <c r="C18" s="12" t="s">
        <v>30</v>
      </c>
      <c r="D18" s="20" t="s">
        <v>259</v>
      </c>
      <c r="E18" s="22" t="s">
        <v>31</v>
      </c>
      <c r="F18" s="14" t="s">
        <v>38</v>
      </c>
      <c r="G18" s="5" t="s">
        <v>65</v>
      </c>
      <c r="H18" s="5" t="s">
        <v>66</v>
      </c>
      <c r="I18" s="5" t="s">
        <v>253</v>
      </c>
      <c r="J18" s="5" t="s">
        <v>189</v>
      </c>
      <c r="K18" s="5" t="s">
        <v>27</v>
      </c>
      <c r="L18" s="5" t="s">
        <v>242</v>
      </c>
      <c r="M18" s="24">
        <v>3</v>
      </c>
      <c r="N18" s="4">
        <v>6.5000000000000006E-3</v>
      </c>
      <c r="O18" s="98">
        <v>0</v>
      </c>
      <c r="P18" s="28"/>
      <c r="Q18" s="28"/>
      <c r="R18" s="28"/>
      <c r="S18" s="43">
        <f t="shared" si="2"/>
        <v>0</v>
      </c>
      <c r="T18" s="42" t="s">
        <v>247</v>
      </c>
      <c r="U18" s="17">
        <f t="shared" si="0"/>
        <v>0</v>
      </c>
      <c r="V18" s="13">
        <f t="shared" si="1"/>
        <v>0</v>
      </c>
      <c r="W18" s="58" t="s">
        <v>363</v>
      </c>
      <c r="X18" s="58"/>
      <c r="Y18" s="58"/>
      <c r="Z18" s="58"/>
    </row>
    <row r="19" spans="1:26" s="6" customFormat="1" ht="94.5" customHeight="1" x14ac:dyDescent="0.2">
      <c r="A19" s="70">
        <v>10</v>
      </c>
      <c r="B19" s="11" t="s">
        <v>251</v>
      </c>
      <c r="C19" s="12" t="s">
        <v>30</v>
      </c>
      <c r="D19" s="20" t="s">
        <v>260</v>
      </c>
      <c r="E19" s="22" t="s">
        <v>31</v>
      </c>
      <c r="F19" s="14" t="s">
        <v>38</v>
      </c>
      <c r="G19" s="5" t="s">
        <v>67</v>
      </c>
      <c r="H19" s="5" t="s">
        <v>68</v>
      </c>
      <c r="I19" s="5" t="s">
        <v>253</v>
      </c>
      <c r="J19" s="5" t="s">
        <v>190</v>
      </c>
      <c r="K19" s="5" t="s">
        <v>27</v>
      </c>
      <c r="L19" s="5" t="s">
        <v>242</v>
      </c>
      <c r="M19" s="41">
        <v>348</v>
      </c>
      <c r="N19" s="4">
        <v>6.6E-3</v>
      </c>
      <c r="O19" s="28">
        <v>76</v>
      </c>
      <c r="P19" s="28"/>
      <c r="Q19" s="31"/>
      <c r="R19" s="60"/>
      <c r="S19" s="43">
        <f t="shared" si="2"/>
        <v>76</v>
      </c>
      <c r="T19" s="42" t="s">
        <v>247</v>
      </c>
      <c r="U19" s="17">
        <f t="shared" si="0"/>
        <v>0.21839080459770116</v>
      </c>
      <c r="V19" s="13">
        <f t="shared" si="1"/>
        <v>1.4413793103448278E-3</v>
      </c>
      <c r="W19" s="58" t="s">
        <v>364</v>
      </c>
      <c r="X19" s="58"/>
      <c r="Y19" s="58"/>
      <c r="Z19" s="58"/>
    </row>
    <row r="20" spans="1:26" s="6" customFormat="1" ht="94.5" customHeight="1" x14ac:dyDescent="0.2">
      <c r="A20" s="70">
        <v>11</v>
      </c>
      <c r="B20" s="11" t="s">
        <v>251</v>
      </c>
      <c r="C20" s="12" t="s">
        <v>30</v>
      </c>
      <c r="D20" s="20" t="s">
        <v>260</v>
      </c>
      <c r="E20" s="22" t="s">
        <v>31</v>
      </c>
      <c r="F20" s="14" t="s">
        <v>38</v>
      </c>
      <c r="G20" s="5" t="s">
        <v>69</v>
      </c>
      <c r="H20" s="5" t="s">
        <v>70</v>
      </c>
      <c r="I20" s="5" t="s">
        <v>253</v>
      </c>
      <c r="J20" s="5" t="s">
        <v>264</v>
      </c>
      <c r="K20" s="5" t="s">
        <v>27</v>
      </c>
      <c r="L20" s="5" t="s">
        <v>242</v>
      </c>
      <c r="M20" s="24">
        <v>25</v>
      </c>
      <c r="N20" s="4">
        <v>6.6E-3</v>
      </c>
      <c r="O20" s="97">
        <v>6</v>
      </c>
      <c r="P20" s="28"/>
      <c r="Q20" s="28"/>
      <c r="R20" s="28"/>
      <c r="S20" s="43">
        <f t="shared" si="2"/>
        <v>6</v>
      </c>
      <c r="T20" s="42" t="s">
        <v>247</v>
      </c>
      <c r="U20" s="17">
        <f t="shared" si="0"/>
        <v>0.24</v>
      </c>
      <c r="V20" s="13">
        <f t="shared" si="1"/>
        <v>1.5839999999999999E-3</v>
      </c>
      <c r="W20" s="58" t="s">
        <v>365</v>
      </c>
      <c r="X20" s="58"/>
      <c r="Y20" s="58"/>
      <c r="Z20" s="58"/>
    </row>
    <row r="21" spans="1:26" s="6" customFormat="1" ht="94.5" customHeight="1" x14ac:dyDescent="0.2">
      <c r="A21" s="70">
        <v>12</v>
      </c>
      <c r="B21" s="11" t="s">
        <v>251</v>
      </c>
      <c r="C21" s="12" t="s">
        <v>30</v>
      </c>
      <c r="D21" s="20" t="s">
        <v>259</v>
      </c>
      <c r="E21" s="22" t="s">
        <v>32</v>
      </c>
      <c r="F21" s="14" t="s">
        <v>39</v>
      </c>
      <c r="G21" s="5" t="s">
        <v>71</v>
      </c>
      <c r="H21" s="5" t="s">
        <v>72</v>
      </c>
      <c r="I21" s="5" t="s">
        <v>252</v>
      </c>
      <c r="J21" s="5" t="s">
        <v>191</v>
      </c>
      <c r="K21" s="5" t="s">
        <v>27</v>
      </c>
      <c r="L21" s="5" t="s">
        <v>243</v>
      </c>
      <c r="M21" s="39">
        <v>8.0000000000000002E-3</v>
      </c>
      <c r="N21" s="4">
        <v>2.6499999999999999E-2</v>
      </c>
      <c r="O21" s="32">
        <v>3.9600000000000003E-2</v>
      </c>
      <c r="P21" s="32"/>
      <c r="Q21" s="32"/>
      <c r="R21" s="32"/>
      <c r="S21" s="59">
        <f>+R21</f>
        <v>0</v>
      </c>
      <c r="T21" s="42" t="s">
        <v>248</v>
      </c>
      <c r="U21" s="17">
        <f t="shared" si="0"/>
        <v>0</v>
      </c>
      <c r="V21" s="13">
        <f t="shared" si="1"/>
        <v>0</v>
      </c>
      <c r="W21" s="58" t="s">
        <v>369</v>
      </c>
      <c r="X21" s="58"/>
      <c r="Y21" s="58"/>
      <c r="Z21" s="58"/>
    </row>
    <row r="22" spans="1:26" s="6" customFormat="1" ht="94.5" customHeight="1" x14ac:dyDescent="0.2">
      <c r="A22" s="70">
        <v>13</v>
      </c>
      <c r="B22" s="11" t="s">
        <v>251</v>
      </c>
      <c r="C22" s="12" t="s">
        <v>30</v>
      </c>
      <c r="D22" s="20" t="s">
        <v>259</v>
      </c>
      <c r="E22" s="22" t="s">
        <v>32</v>
      </c>
      <c r="F22" s="14" t="s">
        <v>39</v>
      </c>
      <c r="G22" s="5" t="s">
        <v>73</v>
      </c>
      <c r="H22" s="5" t="s">
        <v>74</v>
      </c>
      <c r="I22" s="5" t="s">
        <v>254</v>
      </c>
      <c r="J22" s="5" t="s">
        <v>192</v>
      </c>
      <c r="K22" s="5" t="s">
        <v>27</v>
      </c>
      <c r="L22" s="5" t="s">
        <v>243</v>
      </c>
      <c r="M22" s="25">
        <v>4500000</v>
      </c>
      <c r="N22" s="4">
        <v>2.6000000000000002E-2</v>
      </c>
      <c r="O22" s="31">
        <v>5339124</v>
      </c>
      <c r="P22" s="31"/>
      <c r="Q22" s="31"/>
      <c r="R22" s="31"/>
      <c r="S22" s="46">
        <f>+R22</f>
        <v>0</v>
      </c>
      <c r="T22" s="42" t="s">
        <v>248</v>
      </c>
      <c r="U22" s="17">
        <f t="shared" si="0"/>
        <v>0</v>
      </c>
      <c r="V22" s="13">
        <f t="shared" si="1"/>
        <v>0</v>
      </c>
      <c r="W22" s="58" t="s">
        <v>370</v>
      </c>
      <c r="X22" s="58"/>
      <c r="Y22" s="58"/>
      <c r="Z22" s="58"/>
    </row>
    <row r="23" spans="1:26" s="6" customFormat="1" ht="94.5" customHeight="1" x14ac:dyDescent="0.2">
      <c r="A23" s="70">
        <v>14</v>
      </c>
      <c r="B23" s="11" t="s">
        <v>251</v>
      </c>
      <c r="C23" s="12" t="s">
        <v>30</v>
      </c>
      <c r="D23" s="20" t="s">
        <v>259</v>
      </c>
      <c r="E23" s="22" t="s">
        <v>32</v>
      </c>
      <c r="F23" s="14" t="s">
        <v>39</v>
      </c>
      <c r="G23" s="5" t="s">
        <v>75</v>
      </c>
      <c r="H23" s="5" t="s">
        <v>76</v>
      </c>
      <c r="I23" s="5" t="s">
        <v>253</v>
      </c>
      <c r="J23" s="5" t="s">
        <v>193</v>
      </c>
      <c r="K23" s="5" t="s">
        <v>27</v>
      </c>
      <c r="L23" s="5" t="s">
        <v>243</v>
      </c>
      <c r="M23" s="24">
        <v>110</v>
      </c>
      <c r="N23" s="4">
        <v>1.95E-2</v>
      </c>
      <c r="O23" s="28">
        <v>30</v>
      </c>
      <c r="P23" s="28"/>
      <c r="Q23" s="28"/>
      <c r="R23" s="28"/>
      <c r="S23" s="43">
        <f>+R23</f>
        <v>0</v>
      </c>
      <c r="T23" s="42" t="s">
        <v>248</v>
      </c>
      <c r="U23" s="17">
        <f t="shared" si="0"/>
        <v>0</v>
      </c>
      <c r="V23" s="13">
        <f t="shared" si="1"/>
        <v>0</v>
      </c>
      <c r="W23" s="58" t="s">
        <v>371</v>
      </c>
      <c r="X23" s="58"/>
      <c r="Y23" s="58"/>
      <c r="Z23" s="58"/>
    </row>
    <row r="24" spans="1:26" s="6" customFormat="1" ht="94.5" customHeight="1" x14ac:dyDescent="0.2">
      <c r="A24" s="70">
        <v>15</v>
      </c>
      <c r="B24" s="11" t="s">
        <v>251</v>
      </c>
      <c r="C24" s="12" t="s">
        <v>30</v>
      </c>
      <c r="D24" s="20" t="s">
        <v>259</v>
      </c>
      <c r="E24" s="22" t="s">
        <v>32</v>
      </c>
      <c r="F24" s="14" t="s">
        <v>39</v>
      </c>
      <c r="G24" s="5" t="s">
        <v>77</v>
      </c>
      <c r="H24" s="5" t="s">
        <v>78</v>
      </c>
      <c r="I24" s="5" t="s">
        <v>253</v>
      </c>
      <c r="J24" s="5" t="s">
        <v>194</v>
      </c>
      <c r="K24" s="5" t="s">
        <v>27</v>
      </c>
      <c r="L24" s="5" t="s">
        <v>242</v>
      </c>
      <c r="M24" s="25">
        <v>25000000</v>
      </c>
      <c r="N24" s="4">
        <v>2.6000000000000002E-2</v>
      </c>
      <c r="O24" s="31">
        <v>4021746</v>
      </c>
      <c r="P24" s="31"/>
      <c r="Q24" s="31"/>
      <c r="R24" s="31"/>
      <c r="S24" s="46">
        <f>SUM(O24:R24)</f>
        <v>4021746</v>
      </c>
      <c r="T24" s="42" t="s">
        <v>247</v>
      </c>
      <c r="U24" s="17">
        <f t="shared" si="0"/>
        <v>0.16086983999999999</v>
      </c>
      <c r="V24" s="13">
        <f t="shared" si="1"/>
        <v>4.1826158399999999E-3</v>
      </c>
      <c r="W24" s="58" t="s">
        <v>372</v>
      </c>
      <c r="X24" s="58"/>
      <c r="Y24" s="58"/>
      <c r="Z24" s="58"/>
    </row>
    <row r="25" spans="1:26" s="6" customFormat="1" ht="94.5" customHeight="1" x14ac:dyDescent="0.2">
      <c r="A25" s="70">
        <v>16</v>
      </c>
      <c r="B25" s="11" t="s">
        <v>251</v>
      </c>
      <c r="C25" s="12" t="s">
        <v>30</v>
      </c>
      <c r="D25" s="20" t="s">
        <v>260</v>
      </c>
      <c r="E25" s="22" t="s">
        <v>32</v>
      </c>
      <c r="F25" s="14" t="s">
        <v>39</v>
      </c>
      <c r="G25" s="5" t="s">
        <v>79</v>
      </c>
      <c r="H25" s="5" t="s">
        <v>80</v>
      </c>
      <c r="I25" s="5" t="s">
        <v>252</v>
      </c>
      <c r="J25" s="5" t="s">
        <v>195</v>
      </c>
      <c r="K25" s="5" t="s">
        <v>27</v>
      </c>
      <c r="L25" s="5" t="s">
        <v>242</v>
      </c>
      <c r="M25" s="68">
        <v>4</v>
      </c>
      <c r="N25" s="4">
        <v>1.3000000000000001E-2</v>
      </c>
      <c r="O25" s="28">
        <v>1</v>
      </c>
      <c r="P25" s="28"/>
      <c r="Q25" s="28"/>
      <c r="R25" s="28"/>
      <c r="S25" s="43">
        <f>SUM(O25:R25)</f>
        <v>1</v>
      </c>
      <c r="T25" s="42" t="s">
        <v>247</v>
      </c>
      <c r="U25" s="17">
        <f t="shared" si="0"/>
        <v>0.25</v>
      </c>
      <c r="V25" s="13">
        <f t="shared" si="1"/>
        <v>3.2500000000000003E-3</v>
      </c>
      <c r="W25" s="58" t="s">
        <v>373</v>
      </c>
      <c r="X25" s="58"/>
      <c r="Y25" s="58"/>
      <c r="Z25" s="58"/>
    </row>
    <row r="26" spans="1:26" s="6" customFormat="1" ht="94.5" customHeight="1" x14ac:dyDescent="0.2">
      <c r="A26" s="70">
        <v>17</v>
      </c>
      <c r="B26" s="11" t="s">
        <v>251</v>
      </c>
      <c r="C26" s="12" t="s">
        <v>30</v>
      </c>
      <c r="D26" s="20" t="s">
        <v>259</v>
      </c>
      <c r="E26" s="22" t="s">
        <v>32</v>
      </c>
      <c r="F26" s="14" t="s">
        <v>39</v>
      </c>
      <c r="G26" s="5" t="s">
        <v>81</v>
      </c>
      <c r="H26" s="5" t="s">
        <v>82</v>
      </c>
      <c r="I26" s="5" t="s">
        <v>253</v>
      </c>
      <c r="J26" s="5" t="s">
        <v>196</v>
      </c>
      <c r="K26" s="5" t="s">
        <v>27</v>
      </c>
      <c r="L26" s="5" t="s">
        <v>242</v>
      </c>
      <c r="M26" s="23">
        <v>50000</v>
      </c>
      <c r="N26" s="4">
        <v>1.3000000000000001E-2</v>
      </c>
      <c r="O26" s="33">
        <v>11796</v>
      </c>
      <c r="P26" s="33"/>
      <c r="Q26" s="33"/>
      <c r="R26" s="33"/>
      <c r="S26" s="48">
        <f>SUM(O26:R26)</f>
        <v>11796</v>
      </c>
      <c r="T26" s="42" t="s">
        <v>247</v>
      </c>
      <c r="U26" s="17">
        <f t="shared" si="0"/>
        <v>0.23591999999999999</v>
      </c>
      <c r="V26" s="13">
        <f t="shared" si="1"/>
        <v>3.0669600000000001E-3</v>
      </c>
      <c r="W26" s="58" t="s">
        <v>374</v>
      </c>
      <c r="X26" s="58"/>
      <c r="Y26" s="58"/>
      <c r="Z26" s="58"/>
    </row>
    <row r="27" spans="1:26" s="6" customFormat="1" ht="166.5" customHeight="1" x14ac:dyDescent="0.2">
      <c r="A27" s="70">
        <v>18</v>
      </c>
      <c r="B27" s="11" t="s">
        <v>251</v>
      </c>
      <c r="C27" s="12" t="s">
        <v>30</v>
      </c>
      <c r="D27" s="20" t="s">
        <v>259</v>
      </c>
      <c r="E27" s="22" t="s">
        <v>33</v>
      </c>
      <c r="F27" s="14" t="s">
        <v>40</v>
      </c>
      <c r="G27" s="5" t="s">
        <v>83</v>
      </c>
      <c r="H27" s="5" t="s">
        <v>84</v>
      </c>
      <c r="I27" s="5" t="s">
        <v>252</v>
      </c>
      <c r="J27" s="5" t="s">
        <v>197</v>
      </c>
      <c r="K27" s="5" t="s">
        <v>27</v>
      </c>
      <c r="L27" s="5" t="s">
        <v>242</v>
      </c>
      <c r="M27" s="27">
        <v>0.8</v>
      </c>
      <c r="N27" s="4">
        <v>2.6000000000000002E-2</v>
      </c>
      <c r="O27" s="50">
        <v>0</v>
      </c>
      <c r="P27" s="50"/>
      <c r="Q27" s="50"/>
      <c r="R27" s="50"/>
      <c r="S27" s="44">
        <f>+MAX(O27:R27)</f>
        <v>0</v>
      </c>
      <c r="T27" s="42" t="s">
        <v>245</v>
      </c>
      <c r="U27" s="17">
        <f t="shared" si="0"/>
        <v>0</v>
      </c>
      <c r="V27" s="13">
        <f t="shared" si="1"/>
        <v>0</v>
      </c>
      <c r="W27" s="99" t="s">
        <v>377</v>
      </c>
      <c r="X27" s="58"/>
      <c r="Y27" s="58"/>
      <c r="Z27" s="58"/>
    </row>
    <row r="28" spans="1:26" s="6" customFormat="1" ht="105" x14ac:dyDescent="0.2">
      <c r="A28" s="70">
        <v>19</v>
      </c>
      <c r="B28" s="11" t="s">
        <v>251</v>
      </c>
      <c r="C28" s="12" t="s">
        <v>30</v>
      </c>
      <c r="D28" s="20" t="s">
        <v>259</v>
      </c>
      <c r="E28" s="22" t="s">
        <v>33</v>
      </c>
      <c r="F28" s="14" t="s">
        <v>40</v>
      </c>
      <c r="G28" s="5" t="s">
        <v>85</v>
      </c>
      <c r="H28" s="5" t="s">
        <v>86</v>
      </c>
      <c r="I28" s="5" t="s">
        <v>253</v>
      </c>
      <c r="J28" s="5" t="s">
        <v>198</v>
      </c>
      <c r="K28" s="5" t="s">
        <v>27</v>
      </c>
      <c r="L28" s="5" t="s">
        <v>242</v>
      </c>
      <c r="M28" s="24">
        <v>4</v>
      </c>
      <c r="N28" s="4">
        <v>1.3000000000000001E-2</v>
      </c>
      <c r="O28" s="51">
        <v>0</v>
      </c>
      <c r="P28" s="51"/>
      <c r="Q28" s="51"/>
      <c r="R28" s="51"/>
      <c r="S28" s="43">
        <f t="shared" ref="S28:S38" si="3">SUM(O28:R28)</f>
        <v>0</v>
      </c>
      <c r="T28" s="42" t="s">
        <v>247</v>
      </c>
      <c r="U28" s="17">
        <f t="shared" si="0"/>
        <v>0</v>
      </c>
      <c r="V28" s="13">
        <f t="shared" si="1"/>
        <v>0</v>
      </c>
      <c r="W28" s="99" t="s">
        <v>378</v>
      </c>
      <c r="X28" s="58"/>
      <c r="Y28" s="58"/>
      <c r="Z28" s="58"/>
    </row>
    <row r="29" spans="1:26" s="6" customFormat="1" ht="150" x14ac:dyDescent="0.2">
      <c r="A29" s="70">
        <v>20</v>
      </c>
      <c r="B29" s="11" t="s">
        <v>251</v>
      </c>
      <c r="C29" s="12" t="s">
        <v>30</v>
      </c>
      <c r="D29" s="20" t="s">
        <v>259</v>
      </c>
      <c r="E29" s="22" t="s">
        <v>33</v>
      </c>
      <c r="F29" s="14" t="s">
        <v>40</v>
      </c>
      <c r="G29" s="5" t="s">
        <v>87</v>
      </c>
      <c r="H29" s="5" t="s">
        <v>88</v>
      </c>
      <c r="I29" s="5" t="s">
        <v>252</v>
      </c>
      <c r="J29" s="5" t="s">
        <v>199</v>
      </c>
      <c r="K29" s="5" t="s">
        <v>27</v>
      </c>
      <c r="L29" s="5" t="s">
        <v>242</v>
      </c>
      <c r="M29" s="25">
        <v>10000</v>
      </c>
      <c r="N29" s="4">
        <v>1.3000000000000001E-2</v>
      </c>
      <c r="O29" s="52">
        <v>700</v>
      </c>
      <c r="P29" s="52"/>
      <c r="Q29" s="52"/>
      <c r="R29" s="52"/>
      <c r="S29" s="43">
        <f t="shared" si="3"/>
        <v>700</v>
      </c>
      <c r="T29" s="42" t="s">
        <v>247</v>
      </c>
      <c r="U29" s="17">
        <f t="shared" si="0"/>
        <v>7.0000000000000007E-2</v>
      </c>
      <c r="V29" s="13">
        <f t="shared" si="1"/>
        <v>9.1000000000000022E-4</v>
      </c>
      <c r="W29" s="100" t="s">
        <v>375</v>
      </c>
      <c r="X29" s="58"/>
      <c r="Y29" s="58"/>
      <c r="Z29" s="58"/>
    </row>
    <row r="30" spans="1:26" s="6" customFormat="1" ht="174" customHeight="1" x14ac:dyDescent="0.2">
      <c r="A30" s="70">
        <v>21</v>
      </c>
      <c r="B30" s="11" t="s">
        <v>251</v>
      </c>
      <c r="C30" s="12" t="s">
        <v>30</v>
      </c>
      <c r="D30" s="20" t="s">
        <v>259</v>
      </c>
      <c r="E30" s="22" t="s">
        <v>33</v>
      </c>
      <c r="F30" s="14" t="s">
        <v>40</v>
      </c>
      <c r="G30" s="5" t="s">
        <v>89</v>
      </c>
      <c r="H30" s="5" t="s">
        <v>90</v>
      </c>
      <c r="I30" s="5" t="s">
        <v>252</v>
      </c>
      <c r="J30" s="5" t="s">
        <v>200</v>
      </c>
      <c r="K30" s="5" t="s">
        <v>27</v>
      </c>
      <c r="L30" s="5" t="s">
        <v>242</v>
      </c>
      <c r="M30" s="24">
        <v>14</v>
      </c>
      <c r="N30" s="4">
        <v>1.3000000000000001E-2</v>
      </c>
      <c r="O30" s="51">
        <v>3</v>
      </c>
      <c r="P30" s="51"/>
      <c r="Q30" s="51"/>
      <c r="R30" s="51"/>
      <c r="S30" s="43">
        <f t="shared" si="3"/>
        <v>3</v>
      </c>
      <c r="T30" s="42" t="s">
        <v>247</v>
      </c>
      <c r="U30" s="17">
        <f t="shared" si="0"/>
        <v>0.21428571428571427</v>
      </c>
      <c r="V30" s="13">
        <f t="shared" si="1"/>
        <v>2.7857142857142859E-3</v>
      </c>
      <c r="W30" s="99" t="s">
        <v>376</v>
      </c>
      <c r="X30" s="58"/>
      <c r="Y30" s="58"/>
      <c r="Z30" s="58"/>
    </row>
    <row r="31" spans="1:26" s="6" customFormat="1" ht="94.5" customHeight="1" x14ac:dyDescent="0.2">
      <c r="A31" s="70">
        <v>22</v>
      </c>
      <c r="B31" s="11" t="s">
        <v>251</v>
      </c>
      <c r="C31" s="12" t="s">
        <v>30</v>
      </c>
      <c r="D31" s="20" t="s">
        <v>260</v>
      </c>
      <c r="E31" s="22" t="s">
        <v>34</v>
      </c>
      <c r="F31" s="14" t="s">
        <v>41</v>
      </c>
      <c r="G31" s="5" t="s">
        <v>91</v>
      </c>
      <c r="H31" s="5" t="s">
        <v>92</v>
      </c>
      <c r="I31" s="5" t="s">
        <v>253</v>
      </c>
      <c r="J31" s="5" t="s">
        <v>201</v>
      </c>
      <c r="K31" s="5" t="s">
        <v>27</v>
      </c>
      <c r="L31" s="5" t="s">
        <v>242</v>
      </c>
      <c r="M31" s="23">
        <v>1500000000</v>
      </c>
      <c r="N31" s="4">
        <v>3.2500000000000001E-2</v>
      </c>
      <c r="O31" s="102">
        <v>46503000</v>
      </c>
      <c r="P31" s="33"/>
      <c r="Q31" s="33"/>
      <c r="R31" s="33"/>
      <c r="S31" s="48">
        <f t="shared" si="3"/>
        <v>46503000</v>
      </c>
      <c r="T31" s="42" t="s">
        <v>247</v>
      </c>
      <c r="U31" s="17">
        <f t="shared" si="0"/>
        <v>3.1001999999999998E-2</v>
      </c>
      <c r="V31" s="13">
        <f t="shared" si="1"/>
        <v>1.007565E-3</v>
      </c>
      <c r="W31" s="58" t="s">
        <v>388</v>
      </c>
      <c r="X31" s="58"/>
      <c r="Y31" s="58"/>
      <c r="Z31" s="58"/>
    </row>
    <row r="32" spans="1:26" s="6" customFormat="1" ht="94.5" customHeight="1" x14ac:dyDescent="0.2">
      <c r="A32" s="70">
        <v>23</v>
      </c>
      <c r="B32" s="11" t="s">
        <v>251</v>
      </c>
      <c r="C32" s="12" t="s">
        <v>30</v>
      </c>
      <c r="D32" s="20" t="s">
        <v>260</v>
      </c>
      <c r="E32" s="22" t="s">
        <v>34</v>
      </c>
      <c r="F32" s="14" t="s">
        <v>41</v>
      </c>
      <c r="G32" s="5" t="s">
        <v>93</v>
      </c>
      <c r="H32" s="5" t="s">
        <v>94</v>
      </c>
      <c r="I32" s="5" t="s">
        <v>252</v>
      </c>
      <c r="J32" s="5" t="s">
        <v>202</v>
      </c>
      <c r="K32" s="5" t="s">
        <v>27</v>
      </c>
      <c r="L32" s="5" t="s">
        <v>242</v>
      </c>
      <c r="M32" s="24">
        <v>2</v>
      </c>
      <c r="N32" s="4">
        <v>1.3000000000000001E-2</v>
      </c>
      <c r="O32" s="51">
        <v>0</v>
      </c>
      <c r="P32" s="28"/>
      <c r="Q32" s="28"/>
      <c r="R32" s="28"/>
      <c r="S32" s="43">
        <f t="shared" si="3"/>
        <v>0</v>
      </c>
      <c r="T32" s="42" t="s">
        <v>247</v>
      </c>
      <c r="U32" s="17">
        <f t="shared" si="0"/>
        <v>0</v>
      </c>
      <c r="V32" s="13">
        <f t="shared" si="1"/>
        <v>0</v>
      </c>
      <c r="W32" s="58" t="s">
        <v>389</v>
      </c>
      <c r="X32" s="58"/>
      <c r="Y32" s="58"/>
      <c r="Z32" s="58"/>
    </row>
    <row r="33" spans="1:26" s="6" customFormat="1" ht="94.5" customHeight="1" x14ac:dyDescent="0.2">
      <c r="A33" s="70">
        <v>24</v>
      </c>
      <c r="B33" s="11" t="s">
        <v>251</v>
      </c>
      <c r="C33" s="12" t="s">
        <v>30</v>
      </c>
      <c r="D33" s="20" t="s">
        <v>260</v>
      </c>
      <c r="E33" s="22" t="s">
        <v>34</v>
      </c>
      <c r="F33" s="14" t="s">
        <v>41</v>
      </c>
      <c r="G33" s="5" t="s">
        <v>95</v>
      </c>
      <c r="H33" s="5" t="s">
        <v>96</v>
      </c>
      <c r="I33" s="5" t="s">
        <v>253</v>
      </c>
      <c r="J33" s="5" t="s">
        <v>203</v>
      </c>
      <c r="K33" s="5" t="s">
        <v>27</v>
      </c>
      <c r="L33" s="5" t="s">
        <v>242</v>
      </c>
      <c r="M33" s="25">
        <v>8600</v>
      </c>
      <c r="N33" s="4">
        <v>1.3000000000000001E-2</v>
      </c>
      <c r="O33" s="51">
        <v>2160</v>
      </c>
      <c r="P33" s="31"/>
      <c r="Q33" s="31"/>
      <c r="R33" s="31"/>
      <c r="S33" s="46">
        <f t="shared" si="3"/>
        <v>2160</v>
      </c>
      <c r="T33" s="42" t="s">
        <v>247</v>
      </c>
      <c r="U33" s="17">
        <f t="shared" si="0"/>
        <v>0.25116279069767444</v>
      </c>
      <c r="V33" s="13">
        <f t="shared" si="1"/>
        <v>3.2651162790697679E-3</v>
      </c>
      <c r="W33" s="58" t="s">
        <v>390</v>
      </c>
      <c r="X33" s="58"/>
      <c r="Y33" s="58"/>
      <c r="Z33" s="58"/>
    </row>
    <row r="34" spans="1:26" s="6" customFormat="1" ht="127.5" customHeight="1" x14ac:dyDescent="0.2">
      <c r="A34" s="70">
        <v>25</v>
      </c>
      <c r="B34" s="11" t="s">
        <v>251</v>
      </c>
      <c r="C34" s="12" t="s">
        <v>30</v>
      </c>
      <c r="D34" s="20" t="s">
        <v>260</v>
      </c>
      <c r="E34" s="22" t="s">
        <v>34</v>
      </c>
      <c r="F34" s="14" t="s">
        <v>41</v>
      </c>
      <c r="G34" s="5" t="s">
        <v>97</v>
      </c>
      <c r="H34" s="5" t="s">
        <v>98</v>
      </c>
      <c r="I34" s="5" t="s">
        <v>252</v>
      </c>
      <c r="J34" s="5" t="s">
        <v>97</v>
      </c>
      <c r="K34" s="5" t="s">
        <v>27</v>
      </c>
      <c r="L34" s="5" t="s">
        <v>242</v>
      </c>
      <c r="M34" s="24">
        <v>15</v>
      </c>
      <c r="N34" s="4">
        <v>2.6000000000000002E-2</v>
      </c>
      <c r="O34" s="51">
        <v>0</v>
      </c>
      <c r="P34" s="28"/>
      <c r="Q34" s="28"/>
      <c r="R34" s="28"/>
      <c r="S34" s="43">
        <f t="shared" si="3"/>
        <v>0</v>
      </c>
      <c r="T34" s="42" t="s">
        <v>247</v>
      </c>
      <c r="U34" s="17">
        <f t="shared" si="0"/>
        <v>0</v>
      </c>
      <c r="V34" s="13">
        <f t="shared" si="1"/>
        <v>0</v>
      </c>
      <c r="W34" s="103" t="s">
        <v>391</v>
      </c>
      <c r="X34" s="58"/>
      <c r="Y34" s="58"/>
      <c r="Z34" s="58"/>
    </row>
    <row r="35" spans="1:26" s="6" customFormat="1" ht="159.75" customHeight="1" x14ac:dyDescent="0.2">
      <c r="A35" s="70">
        <v>26</v>
      </c>
      <c r="B35" s="11" t="s">
        <v>251</v>
      </c>
      <c r="C35" s="12" t="s">
        <v>30</v>
      </c>
      <c r="D35" s="20" t="s">
        <v>259</v>
      </c>
      <c r="E35" s="22" t="s">
        <v>35</v>
      </c>
      <c r="F35" s="14" t="s">
        <v>38</v>
      </c>
      <c r="G35" s="5" t="s">
        <v>99</v>
      </c>
      <c r="H35" s="5" t="s">
        <v>100</v>
      </c>
      <c r="I35" s="5" t="s">
        <v>252</v>
      </c>
      <c r="J35" s="5" t="s">
        <v>204</v>
      </c>
      <c r="K35" s="5" t="s">
        <v>27</v>
      </c>
      <c r="L35" s="5" t="s">
        <v>242</v>
      </c>
      <c r="M35" s="24">
        <v>14</v>
      </c>
      <c r="N35" s="4">
        <v>1.3000000000000001E-2</v>
      </c>
      <c r="O35" s="89">
        <v>0</v>
      </c>
      <c r="P35" s="28"/>
      <c r="Q35" s="28"/>
      <c r="R35" s="28"/>
      <c r="S35" s="43">
        <f t="shared" si="3"/>
        <v>0</v>
      </c>
      <c r="T35" s="42" t="s">
        <v>247</v>
      </c>
      <c r="U35" s="17">
        <f t="shared" si="0"/>
        <v>0</v>
      </c>
      <c r="V35" s="13">
        <f t="shared" si="1"/>
        <v>0</v>
      </c>
      <c r="W35" s="58" t="s">
        <v>366</v>
      </c>
      <c r="X35" s="58"/>
      <c r="Y35" s="58"/>
      <c r="Z35" s="58"/>
    </row>
    <row r="36" spans="1:26" s="6" customFormat="1" ht="120" customHeight="1" x14ac:dyDescent="0.2">
      <c r="A36" s="70">
        <v>27</v>
      </c>
      <c r="B36" s="11" t="s">
        <v>251</v>
      </c>
      <c r="C36" s="12" t="s">
        <v>30</v>
      </c>
      <c r="D36" s="20" t="s">
        <v>259</v>
      </c>
      <c r="E36" s="22" t="s">
        <v>35</v>
      </c>
      <c r="F36" s="14" t="s">
        <v>38</v>
      </c>
      <c r="G36" s="5" t="s">
        <v>275</v>
      </c>
      <c r="H36" s="5" t="s">
        <v>101</v>
      </c>
      <c r="I36" s="5" t="s">
        <v>252</v>
      </c>
      <c r="J36" s="5" t="s">
        <v>205</v>
      </c>
      <c r="K36" s="5" t="s">
        <v>27</v>
      </c>
      <c r="L36" s="5" t="s">
        <v>242</v>
      </c>
      <c r="M36" s="41">
        <v>300</v>
      </c>
      <c r="N36" s="4">
        <v>1.95E-2</v>
      </c>
      <c r="O36" s="90">
        <v>0</v>
      </c>
      <c r="P36" s="31"/>
      <c r="Q36" s="31"/>
      <c r="R36" s="31"/>
      <c r="S36" s="46">
        <f t="shared" si="3"/>
        <v>0</v>
      </c>
      <c r="T36" s="42" t="s">
        <v>247</v>
      </c>
      <c r="U36" s="17">
        <f t="shared" si="0"/>
        <v>0</v>
      </c>
      <c r="V36" s="13">
        <f t="shared" si="1"/>
        <v>0</v>
      </c>
      <c r="W36" s="58" t="s">
        <v>366</v>
      </c>
      <c r="X36" s="58"/>
      <c r="Y36" s="58"/>
      <c r="Z36" s="58"/>
    </row>
    <row r="37" spans="1:26" s="6" customFormat="1" ht="142.5" customHeight="1" x14ac:dyDescent="0.2">
      <c r="A37" s="70">
        <v>28</v>
      </c>
      <c r="B37" s="11" t="s">
        <v>251</v>
      </c>
      <c r="C37" s="12" t="s">
        <v>30</v>
      </c>
      <c r="D37" s="20" t="s">
        <v>259</v>
      </c>
      <c r="E37" s="22" t="s">
        <v>35</v>
      </c>
      <c r="F37" s="14" t="s">
        <v>38</v>
      </c>
      <c r="G37" s="5" t="s">
        <v>102</v>
      </c>
      <c r="H37" s="5" t="s">
        <v>103</v>
      </c>
      <c r="I37" s="5" t="s">
        <v>253</v>
      </c>
      <c r="J37" s="5" t="s">
        <v>206</v>
      </c>
      <c r="K37" s="5" t="s">
        <v>27</v>
      </c>
      <c r="L37" s="5" t="s">
        <v>242</v>
      </c>
      <c r="M37" s="24">
        <v>12</v>
      </c>
      <c r="N37" s="4">
        <v>1.3000000000000001E-2</v>
      </c>
      <c r="O37" s="89">
        <v>0</v>
      </c>
      <c r="P37" s="28"/>
      <c r="Q37" s="28"/>
      <c r="R37" s="28"/>
      <c r="S37" s="43">
        <f t="shared" si="3"/>
        <v>0</v>
      </c>
      <c r="T37" s="42" t="s">
        <v>247</v>
      </c>
      <c r="U37" s="17">
        <f t="shared" si="0"/>
        <v>0</v>
      </c>
      <c r="V37" s="13">
        <f t="shared" si="1"/>
        <v>0</v>
      </c>
      <c r="W37" s="58" t="s">
        <v>366</v>
      </c>
      <c r="X37" s="58"/>
      <c r="Y37" s="58"/>
      <c r="Z37" s="58"/>
    </row>
    <row r="38" spans="1:26" s="6" customFormat="1" ht="94.5" customHeight="1" x14ac:dyDescent="0.2">
      <c r="A38" s="70">
        <v>29</v>
      </c>
      <c r="B38" s="11" t="s">
        <v>251</v>
      </c>
      <c r="C38" s="12" t="s">
        <v>30</v>
      </c>
      <c r="D38" s="20" t="s">
        <v>259</v>
      </c>
      <c r="E38" s="22" t="s">
        <v>35</v>
      </c>
      <c r="F38" s="14" t="s">
        <v>42</v>
      </c>
      <c r="G38" s="5" t="s">
        <v>104</v>
      </c>
      <c r="H38" s="5" t="s">
        <v>105</v>
      </c>
      <c r="I38" s="5" t="s">
        <v>252</v>
      </c>
      <c r="J38" s="5" t="s">
        <v>207</v>
      </c>
      <c r="K38" s="5" t="s">
        <v>27</v>
      </c>
      <c r="L38" s="5" t="s">
        <v>242</v>
      </c>
      <c r="M38" s="24">
        <v>5</v>
      </c>
      <c r="N38" s="4">
        <v>1.95E-2</v>
      </c>
      <c r="O38" s="104">
        <v>1</v>
      </c>
      <c r="P38" s="105"/>
      <c r="Q38" s="105"/>
      <c r="R38" s="105"/>
      <c r="S38" s="43">
        <f t="shared" si="3"/>
        <v>1</v>
      </c>
      <c r="T38" s="42" t="s">
        <v>247</v>
      </c>
      <c r="U38" s="17">
        <f t="shared" si="0"/>
        <v>0.2</v>
      </c>
      <c r="V38" s="13">
        <f t="shared" si="1"/>
        <v>3.9000000000000003E-3</v>
      </c>
      <c r="W38" s="58" t="s">
        <v>397</v>
      </c>
      <c r="X38" s="58"/>
      <c r="Y38" s="58"/>
      <c r="Z38" s="58"/>
    </row>
    <row r="39" spans="1:26" s="6" customFormat="1" ht="94.5" customHeight="1" x14ac:dyDescent="0.2">
      <c r="A39" s="70">
        <v>30</v>
      </c>
      <c r="B39" s="11" t="s">
        <v>251</v>
      </c>
      <c r="C39" s="12" t="s">
        <v>30</v>
      </c>
      <c r="D39" s="20" t="s">
        <v>258</v>
      </c>
      <c r="E39" s="22" t="s">
        <v>36</v>
      </c>
      <c r="F39" s="14" t="s">
        <v>43</v>
      </c>
      <c r="G39" s="5" t="s">
        <v>106</v>
      </c>
      <c r="H39" s="5" t="s">
        <v>107</v>
      </c>
      <c r="I39" s="5" t="s">
        <v>252</v>
      </c>
      <c r="J39" s="5" t="s">
        <v>208</v>
      </c>
      <c r="K39" s="5" t="s">
        <v>27</v>
      </c>
      <c r="L39" s="5" t="s">
        <v>242</v>
      </c>
      <c r="M39" s="27">
        <v>0.75</v>
      </c>
      <c r="N39" s="4">
        <v>1.3000000000000001E-2</v>
      </c>
      <c r="O39" s="29">
        <v>0</v>
      </c>
      <c r="P39" s="29"/>
      <c r="Q39" s="29"/>
      <c r="R39" s="29"/>
      <c r="S39" s="44">
        <f>+MAX(O39:R39)</f>
        <v>0</v>
      </c>
      <c r="T39" s="42" t="s">
        <v>245</v>
      </c>
      <c r="U39" s="17">
        <f t="shared" si="0"/>
        <v>0</v>
      </c>
      <c r="V39" s="13">
        <f t="shared" si="1"/>
        <v>0</v>
      </c>
      <c r="W39" s="58" t="s">
        <v>398</v>
      </c>
      <c r="X39" s="58"/>
      <c r="Y39" s="58"/>
      <c r="Z39" s="58"/>
    </row>
    <row r="40" spans="1:26" s="6" customFormat="1" ht="117.75" customHeight="1" x14ac:dyDescent="0.2">
      <c r="A40" s="70">
        <v>31</v>
      </c>
      <c r="B40" s="11" t="s">
        <v>251</v>
      </c>
      <c r="C40" s="12" t="s">
        <v>30</v>
      </c>
      <c r="D40" s="20" t="s">
        <v>258</v>
      </c>
      <c r="E40" s="22" t="s">
        <v>36</v>
      </c>
      <c r="F40" s="14" t="s">
        <v>43</v>
      </c>
      <c r="G40" s="5" t="s">
        <v>108</v>
      </c>
      <c r="H40" s="5" t="s">
        <v>109</v>
      </c>
      <c r="I40" s="5" t="s">
        <v>252</v>
      </c>
      <c r="J40" s="5" t="s">
        <v>354</v>
      </c>
      <c r="K40" s="5" t="s">
        <v>27</v>
      </c>
      <c r="L40" s="5" t="s">
        <v>243</v>
      </c>
      <c r="M40" s="27">
        <v>0.85</v>
      </c>
      <c r="N40" s="4">
        <v>1.3000000000000001E-2</v>
      </c>
      <c r="O40" s="29">
        <v>1</v>
      </c>
      <c r="P40" s="29"/>
      <c r="Q40" s="29"/>
      <c r="R40" s="29"/>
      <c r="S40" s="44">
        <f>+MAX(O40:R40)</f>
        <v>1</v>
      </c>
      <c r="T40" s="42" t="s">
        <v>245</v>
      </c>
      <c r="U40" s="17">
        <f t="shared" si="0"/>
        <v>1.1764705882352942</v>
      </c>
      <c r="V40" s="13">
        <f t="shared" si="1"/>
        <v>1.3000000000000001E-2</v>
      </c>
      <c r="W40" s="58" t="s">
        <v>399</v>
      </c>
      <c r="X40" s="58"/>
      <c r="Y40" s="58"/>
      <c r="Z40" s="58"/>
    </row>
    <row r="41" spans="1:26" s="6" customFormat="1" ht="124.5" customHeight="1" x14ac:dyDescent="0.2">
      <c r="A41" s="70">
        <v>32</v>
      </c>
      <c r="B41" s="11" t="s">
        <v>251</v>
      </c>
      <c r="C41" s="12" t="s">
        <v>30</v>
      </c>
      <c r="D41" s="20" t="s">
        <v>258</v>
      </c>
      <c r="E41" s="22" t="s">
        <v>36</v>
      </c>
      <c r="F41" s="14" t="s">
        <v>43</v>
      </c>
      <c r="G41" s="5" t="s">
        <v>110</v>
      </c>
      <c r="H41" s="5" t="s">
        <v>111</v>
      </c>
      <c r="I41" s="5" t="s">
        <v>253</v>
      </c>
      <c r="J41" s="5" t="s">
        <v>341</v>
      </c>
      <c r="K41" s="5" t="s">
        <v>27</v>
      </c>
      <c r="L41" s="5" t="s">
        <v>242</v>
      </c>
      <c r="M41" s="27">
        <v>0.8</v>
      </c>
      <c r="N41" s="4">
        <v>1.3000000000000001E-2</v>
      </c>
      <c r="O41" s="29">
        <v>1</v>
      </c>
      <c r="P41" s="29"/>
      <c r="Q41" s="29"/>
      <c r="R41" s="29"/>
      <c r="S41" s="44">
        <f>AVERAGE(O41:R41)</f>
        <v>1</v>
      </c>
      <c r="T41" s="42" t="s">
        <v>249</v>
      </c>
      <c r="U41" s="17">
        <f t="shared" si="0"/>
        <v>1.25</v>
      </c>
      <c r="V41" s="13">
        <f t="shared" si="1"/>
        <v>1.3000000000000001E-2</v>
      </c>
      <c r="W41" s="58" t="s">
        <v>400</v>
      </c>
      <c r="X41" s="58"/>
      <c r="Y41" s="58"/>
      <c r="Z41" s="58"/>
    </row>
    <row r="42" spans="1:26" s="6" customFormat="1" ht="132" customHeight="1" x14ac:dyDescent="0.2">
      <c r="A42" s="70">
        <v>33</v>
      </c>
      <c r="B42" s="11" t="s">
        <v>251</v>
      </c>
      <c r="C42" s="12" t="s">
        <v>30</v>
      </c>
      <c r="D42" s="20" t="s">
        <v>257</v>
      </c>
      <c r="E42" s="22" t="s">
        <v>37</v>
      </c>
      <c r="F42" s="14" t="s">
        <v>42</v>
      </c>
      <c r="G42" s="5" t="s">
        <v>112</v>
      </c>
      <c r="H42" s="5" t="s">
        <v>113</v>
      </c>
      <c r="I42" s="5" t="s">
        <v>253</v>
      </c>
      <c r="J42" s="5" t="s">
        <v>209</v>
      </c>
      <c r="K42" s="5" t="s">
        <v>27</v>
      </c>
      <c r="L42" s="5" t="s">
        <v>243</v>
      </c>
      <c r="M42" s="24" t="s">
        <v>239</v>
      </c>
      <c r="N42" s="4">
        <v>6.5000000000000006E-3</v>
      </c>
      <c r="O42" s="31">
        <v>-3472430813</v>
      </c>
      <c r="P42" s="31"/>
      <c r="Q42" s="31"/>
      <c r="R42" s="31"/>
      <c r="S42" s="46">
        <f>+R42</f>
        <v>0</v>
      </c>
      <c r="T42" s="42" t="s">
        <v>248</v>
      </c>
      <c r="U42" s="17">
        <f>+IF(S42&gt;0,100%,0)</f>
        <v>0</v>
      </c>
      <c r="V42" s="13">
        <f t="shared" ref="V42:V78" si="4">+IF(U42&lt;=100%,U42*N42,N42)</f>
        <v>0</v>
      </c>
      <c r="W42" s="58" t="s">
        <v>412</v>
      </c>
      <c r="X42" s="58"/>
      <c r="Y42" s="58"/>
      <c r="Z42" s="58"/>
    </row>
    <row r="43" spans="1:26" s="6" customFormat="1" ht="114.75" customHeight="1" x14ac:dyDescent="0.2">
      <c r="A43" s="70">
        <v>34</v>
      </c>
      <c r="B43" s="11" t="s">
        <v>251</v>
      </c>
      <c r="C43" s="12" t="s">
        <v>30</v>
      </c>
      <c r="D43" s="20" t="s">
        <v>257</v>
      </c>
      <c r="E43" s="22" t="s">
        <v>37</v>
      </c>
      <c r="F43" s="14" t="s">
        <v>42</v>
      </c>
      <c r="G43" s="5" t="s">
        <v>114</v>
      </c>
      <c r="H43" s="5" t="s">
        <v>115</v>
      </c>
      <c r="I43" s="5" t="s">
        <v>253</v>
      </c>
      <c r="J43" s="5" t="s">
        <v>210</v>
      </c>
      <c r="K43" s="5" t="s">
        <v>27</v>
      </c>
      <c r="L43" s="5" t="s">
        <v>243</v>
      </c>
      <c r="M43" s="24" t="s">
        <v>331</v>
      </c>
      <c r="N43" s="4">
        <v>6.5000000000000006E-3</v>
      </c>
      <c r="O43" s="35">
        <f>-3634272155/4853715750</f>
        <v>-0.74876081381568338</v>
      </c>
      <c r="P43" s="35"/>
      <c r="Q43" s="35"/>
      <c r="R43" s="35"/>
      <c r="S43" s="49">
        <f>+R43</f>
        <v>0</v>
      </c>
      <c r="T43" s="42" t="s">
        <v>248</v>
      </c>
      <c r="U43" s="17">
        <f>+IF(S43&gt;26%,100%,S43/26%)</f>
        <v>0</v>
      </c>
      <c r="V43" s="13">
        <f t="shared" si="4"/>
        <v>0</v>
      </c>
      <c r="W43" s="58" t="s">
        <v>413</v>
      </c>
      <c r="X43" s="58"/>
      <c r="Y43" s="58"/>
      <c r="Z43" s="58"/>
    </row>
    <row r="44" spans="1:26" s="6" customFormat="1" ht="94.5" customHeight="1" x14ac:dyDescent="0.2">
      <c r="A44" s="70">
        <v>35</v>
      </c>
      <c r="B44" s="11" t="s">
        <v>251</v>
      </c>
      <c r="C44" s="12" t="s">
        <v>30</v>
      </c>
      <c r="D44" s="20" t="s">
        <v>257</v>
      </c>
      <c r="E44" s="22" t="s">
        <v>37</v>
      </c>
      <c r="F44" s="14" t="s">
        <v>42</v>
      </c>
      <c r="G44" s="5" t="s">
        <v>116</v>
      </c>
      <c r="H44" s="5" t="s">
        <v>117</v>
      </c>
      <c r="I44" s="5" t="s">
        <v>253</v>
      </c>
      <c r="J44" s="5" t="s">
        <v>211</v>
      </c>
      <c r="K44" s="5" t="s">
        <v>27</v>
      </c>
      <c r="L44" s="5" t="s">
        <v>243</v>
      </c>
      <c r="M44" s="24" t="s">
        <v>276</v>
      </c>
      <c r="N44" s="4">
        <v>6.5000000000000006E-3</v>
      </c>
      <c r="O44" s="35">
        <f>1920582967/4853715750</f>
        <v>0.39569333391639178</v>
      </c>
      <c r="P44" s="35"/>
      <c r="Q44" s="35"/>
      <c r="R44" s="35"/>
      <c r="S44" s="49">
        <f>+IF(R44&lt;&gt;"",R44,IF(Q44&lt;&gt;"",Q44,IF(P44&lt;&gt;"",P44,O44)))</f>
        <v>0.39569333391639178</v>
      </c>
      <c r="T44" s="42" t="s">
        <v>248</v>
      </c>
      <c r="U44" s="17">
        <f>+IF(S44&lt;=26%,100%,26%/S44)</f>
        <v>0.65707450117149768</v>
      </c>
      <c r="V44" s="13">
        <f t="shared" si="4"/>
        <v>4.2709842576147353E-3</v>
      </c>
      <c r="W44" s="58" t="s">
        <v>414</v>
      </c>
      <c r="X44" s="58"/>
      <c r="Y44" s="58"/>
      <c r="Z44" s="58"/>
    </row>
    <row r="45" spans="1:26" s="6" customFormat="1" ht="112.5" customHeight="1" x14ac:dyDescent="0.2">
      <c r="A45" s="70">
        <v>36</v>
      </c>
      <c r="B45" s="11" t="s">
        <v>251</v>
      </c>
      <c r="C45" s="12" t="s">
        <v>30</v>
      </c>
      <c r="D45" s="20" t="s">
        <v>257</v>
      </c>
      <c r="E45" s="22" t="s">
        <v>37</v>
      </c>
      <c r="F45" s="14" t="s">
        <v>42</v>
      </c>
      <c r="G45" s="5" t="s">
        <v>118</v>
      </c>
      <c r="H45" s="5" t="s">
        <v>119</v>
      </c>
      <c r="I45" s="5" t="s">
        <v>253</v>
      </c>
      <c r="J45" s="5" t="s">
        <v>212</v>
      </c>
      <c r="K45" s="5" t="s">
        <v>27</v>
      </c>
      <c r="L45" s="5" t="s">
        <v>243</v>
      </c>
      <c r="M45" s="24" t="s">
        <v>332</v>
      </c>
      <c r="N45" s="4">
        <v>4.2500000000000003E-3</v>
      </c>
      <c r="O45" s="35">
        <f>9631520464/52160841800</f>
        <v>0.18465040309222924</v>
      </c>
      <c r="P45" s="35"/>
      <c r="Q45" s="35"/>
      <c r="R45" s="35"/>
      <c r="S45" s="49">
        <f>+R45</f>
        <v>0</v>
      </c>
      <c r="T45" s="42" t="s">
        <v>248</v>
      </c>
      <c r="U45" s="17">
        <f>+IF(S45&gt;96%,100%,S45/96%)</f>
        <v>0</v>
      </c>
      <c r="V45" s="13">
        <f t="shared" si="4"/>
        <v>0</v>
      </c>
      <c r="W45" s="58" t="s">
        <v>415</v>
      </c>
      <c r="X45" s="58"/>
      <c r="Y45" s="58"/>
      <c r="Z45" s="58"/>
    </row>
    <row r="46" spans="1:26" s="6" customFormat="1" ht="94.5" customHeight="1" x14ac:dyDescent="0.2">
      <c r="A46" s="70">
        <v>37</v>
      </c>
      <c r="B46" s="11" t="s">
        <v>251</v>
      </c>
      <c r="C46" s="12" t="s">
        <v>30</v>
      </c>
      <c r="D46" s="20" t="s">
        <v>257</v>
      </c>
      <c r="E46" s="22" t="s">
        <v>37</v>
      </c>
      <c r="F46" s="14" t="s">
        <v>42</v>
      </c>
      <c r="G46" s="5" t="s">
        <v>120</v>
      </c>
      <c r="H46" s="5" t="s">
        <v>121</v>
      </c>
      <c r="I46" s="5" t="s">
        <v>253</v>
      </c>
      <c r="J46" s="5" t="s">
        <v>213</v>
      </c>
      <c r="K46" s="5" t="s">
        <v>27</v>
      </c>
      <c r="L46" s="5" t="s">
        <v>243</v>
      </c>
      <c r="M46" s="24" t="s">
        <v>240</v>
      </c>
      <c r="N46" s="4">
        <v>4.2500000000000003E-3</v>
      </c>
      <c r="O46" s="35">
        <f>26014438203/52160841800</f>
        <v>0.49873501472133069</v>
      </c>
      <c r="P46" s="35"/>
      <c r="Q46" s="35"/>
      <c r="R46" s="35"/>
      <c r="S46" s="49">
        <f>+R46</f>
        <v>0</v>
      </c>
      <c r="T46" s="42" t="s">
        <v>248</v>
      </c>
      <c r="U46" s="17">
        <f>+IF(S46&gt;90%,100%,S46/90%)</f>
        <v>0</v>
      </c>
      <c r="V46" s="13">
        <f t="shared" si="4"/>
        <v>0</v>
      </c>
      <c r="W46" s="58" t="s">
        <v>416</v>
      </c>
      <c r="X46" s="58"/>
      <c r="Y46" s="58"/>
      <c r="Z46" s="58"/>
    </row>
    <row r="47" spans="1:26" s="6" customFormat="1" ht="94.5" customHeight="1" x14ac:dyDescent="0.2">
      <c r="A47" s="70">
        <v>38</v>
      </c>
      <c r="B47" s="11" t="s">
        <v>251</v>
      </c>
      <c r="C47" s="12" t="s">
        <v>30</v>
      </c>
      <c r="D47" s="20" t="s">
        <v>257</v>
      </c>
      <c r="E47" s="22" t="s">
        <v>37</v>
      </c>
      <c r="F47" s="14" t="s">
        <v>42</v>
      </c>
      <c r="G47" s="5" t="s">
        <v>122</v>
      </c>
      <c r="H47" s="5" t="s">
        <v>123</v>
      </c>
      <c r="I47" s="5" t="s">
        <v>253</v>
      </c>
      <c r="J47" s="5" t="s">
        <v>214</v>
      </c>
      <c r="K47" s="5" t="s">
        <v>27</v>
      </c>
      <c r="L47" s="5" t="s">
        <v>243</v>
      </c>
      <c r="M47" s="24" t="s">
        <v>240</v>
      </c>
      <c r="N47" s="4">
        <v>6.5000000000000006E-3</v>
      </c>
      <c r="O47" s="35">
        <f>12602606596/16775225796</f>
        <v>0.7512630082752777</v>
      </c>
      <c r="P47" s="35"/>
      <c r="Q47" s="35"/>
      <c r="R47" s="35"/>
      <c r="S47" s="49">
        <f>+R47</f>
        <v>0</v>
      </c>
      <c r="T47" s="42" t="s">
        <v>248</v>
      </c>
      <c r="U47" s="17">
        <f>+IF(S47&gt;90%,100%,S47/90%)</f>
        <v>0</v>
      </c>
      <c r="V47" s="13">
        <f t="shared" si="4"/>
        <v>0</v>
      </c>
      <c r="W47" s="58" t="s">
        <v>417</v>
      </c>
      <c r="X47" s="58"/>
      <c r="Y47" s="58"/>
      <c r="Z47" s="58"/>
    </row>
    <row r="48" spans="1:26" s="6" customFormat="1" ht="164.25" customHeight="1" x14ac:dyDescent="0.2">
      <c r="A48" s="70">
        <v>39</v>
      </c>
      <c r="B48" s="11" t="s">
        <v>251</v>
      </c>
      <c r="C48" s="12" t="s">
        <v>30</v>
      </c>
      <c r="D48" s="20" t="s">
        <v>262</v>
      </c>
      <c r="E48" s="22" t="s">
        <v>37</v>
      </c>
      <c r="F48" s="14" t="s">
        <v>44</v>
      </c>
      <c r="G48" s="5" t="s">
        <v>124</v>
      </c>
      <c r="H48" s="5" t="s">
        <v>125</v>
      </c>
      <c r="I48" s="5" t="s">
        <v>252</v>
      </c>
      <c r="J48" s="5" t="s">
        <v>321</v>
      </c>
      <c r="K48" s="5" t="s">
        <v>27</v>
      </c>
      <c r="L48" s="5" t="s">
        <v>242</v>
      </c>
      <c r="M48" s="86">
        <v>37500000000</v>
      </c>
      <c r="N48" s="4">
        <v>1.95E-2</v>
      </c>
      <c r="O48" s="33">
        <f>14664550878+3768449437+73752955</f>
        <v>18506753270</v>
      </c>
      <c r="P48" s="33"/>
      <c r="Q48" s="33"/>
      <c r="R48" s="33"/>
      <c r="S48" s="48">
        <f>SUM(O48:R48)</f>
        <v>18506753270</v>
      </c>
      <c r="T48" s="42" t="s">
        <v>247</v>
      </c>
      <c r="U48" s="17">
        <f t="shared" ref="U48:U84" si="5">+S48/M48</f>
        <v>0.49351342053333336</v>
      </c>
      <c r="V48" s="13">
        <f t="shared" si="4"/>
        <v>9.6235117003999997E-3</v>
      </c>
      <c r="W48" s="58" t="s">
        <v>425</v>
      </c>
      <c r="X48" s="58"/>
      <c r="Y48" s="58"/>
      <c r="Z48" s="58"/>
    </row>
    <row r="49" spans="1:26" s="6" customFormat="1" ht="114.75" customHeight="1" x14ac:dyDescent="0.2">
      <c r="A49" s="70">
        <v>40</v>
      </c>
      <c r="B49" s="11" t="s">
        <v>251</v>
      </c>
      <c r="C49" s="12" t="s">
        <v>30</v>
      </c>
      <c r="D49" s="20" t="s">
        <v>261</v>
      </c>
      <c r="E49" s="22" t="s">
        <v>37</v>
      </c>
      <c r="F49" s="14" t="s">
        <v>44</v>
      </c>
      <c r="G49" s="5" t="s">
        <v>126</v>
      </c>
      <c r="H49" s="5" t="s">
        <v>281</v>
      </c>
      <c r="I49" s="5" t="s">
        <v>252</v>
      </c>
      <c r="J49" s="5" t="s">
        <v>215</v>
      </c>
      <c r="K49" s="5" t="s">
        <v>27</v>
      </c>
      <c r="L49" s="5" t="s">
        <v>242</v>
      </c>
      <c r="M49" s="94">
        <v>0.82</v>
      </c>
      <c r="N49" s="4">
        <v>6.4999999999999997E-3</v>
      </c>
      <c r="O49" s="29">
        <v>0.9</v>
      </c>
      <c r="P49" s="29"/>
      <c r="Q49" s="29"/>
      <c r="R49" s="29"/>
      <c r="S49" s="44">
        <f>+MAX(O49:R49)</f>
        <v>0.9</v>
      </c>
      <c r="T49" s="42" t="s">
        <v>245</v>
      </c>
      <c r="U49" s="17">
        <f t="shared" si="5"/>
        <v>1.0975609756097562</v>
      </c>
      <c r="V49" s="13">
        <f t="shared" si="4"/>
        <v>6.4999999999999997E-3</v>
      </c>
      <c r="W49" s="58" t="s">
        <v>426</v>
      </c>
      <c r="X49" s="58"/>
      <c r="Y49" s="58"/>
      <c r="Z49" s="58"/>
    </row>
    <row r="50" spans="1:26" s="6" customFormat="1" ht="94.5" customHeight="1" x14ac:dyDescent="0.2">
      <c r="A50" s="70">
        <v>41</v>
      </c>
      <c r="B50" s="11" t="s">
        <v>251</v>
      </c>
      <c r="C50" s="12" t="s">
        <v>30</v>
      </c>
      <c r="D50" s="20" t="s">
        <v>262</v>
      </c>
      <c r="E50" s="22" t="s">
        <v>37</v>
      </c>
      <c r="F50" s="14" t="s">
        <v>44</v>
      </c>
      <c r="G50" s="5" t="s">
        <v>127</v>
      </c>
      <c r="H50" s="5" t="s">
        <v>128</v>
      </c>
      <c r="I50" s="5" t="s">
        <v>252</v>
      </c>
      <c r="J50" s="5" t="s">
        <v>216</v>
      </c>
      <c r="K50" s="5" t="s">
        <v>27</v>
      </c>
      <c r="L50" s="5" t="s">
        <v>242</v>
      </c>
      <c r="M50" s="68">
        <v>1</v>
      </c>
      <c r="N50" s="4">
        <v>6.5000000000000006E-3</v>
      </c>
      <c r="O50" s="28">
        <v>1</v>
      </c>
      <c r="P50" s="28"/>
      <c r="Q50" s="28"/>
      <c r="R50" s="28"/>
      <c r="S50" s="43">
        <f>SUM(O50:R50)</f>
        <v>1</v>
      </c>
      <c r="T50" s="42" t="s">
        <v>247</v>
      </c>
      <c r="U50" s="17">
        <f t="shared" si="5"/>
        <v>1</v>
      </c>
      <c r="V50" s="13">
        <f t="shared" si="4"/>
        <v>6.5000000000000006E-3</v>
      </c>
      <c r="W50" s="58" t="s">
        <v>427</v>
      </c>
      <c r="X50" s="58"/>
      <c r="Y50" s="58"/>
      <c r="Z50" s="58"/>
    </row>
    <row r="51" spans="1:26" s="6" customFormat="1" ht="94.5" customHeight="1" x14ac:dyDescent="0.2">
      <c r="A51" s="70">
        <v>42</v>
      </c>
      <c r="B51" s="70" t="s">
        <v>251</v>
      </c>
      <c r="C51" s="71" t="s">
        <v>30</v>
      </c>
      <c r="D51" s="72" t="s">
        <v>262</v>
      </c>
      <c r="E51" s="73" t="s">
        <v>37</v>
      </c>
      <c r="F51" s="74" t="s">
        <v>44</v>
      </c>
      <c r="G51" s="75" t="s">
        <v>325</v>
      </c>
      <c r="H51" s="75" t="s">
        <v>320</v>
      </c>
      <c r="I51" s="75" t="s">
        <v>253</v>
      </c>
      <c r="J51" s="75" t="s">
        <v>217</v>
      </c>
      <c r="K51" s="75" t="s">
        <v>27</v>
      </c>
      <c r="L51" s="75" t="s">
        <v>243</v>
      </c>
      <c r="M51" s="94">
        <v>0.11</v>
      </c>
      <c r="N51" s="4">
        <v>1.2999999999999999E-2</v>
      </c>
      <c r="O51" s="29" t="s">
        <v>424</v>
      </c>
      <c r="P51" s="29"/>
      <c r="Q51" s="29"/>
      <c r="R51" s="63"/>
      <c r="S51" s="44">
        <f t="shared" ref="S51" si="6">+R51</f>
        <v>0</v>
      </c>
      <c r="T51" s="42" t="s">
        <v>248</v>
      </c>
      <c r="U51" s="17">
        <f t="shared" si="5"/>
        <v>0</v>
      </c>
      <c r="V51" s="13">
        <f t="shared" si="4"/>
        <v>0</v>
      </c>
      <c r="W51" s="58" t="s">
        <v>428</v>
      </c>
      <c r="X51" s="58"/>
      <c r="Y51" s="58"/>
      <c r="Z51" s="58"/>
    </row>
    <row r="52" spans="1:26" s="6" customFormat="1" ht="94.5" customHeight="1" x14ac:dyDescent="0.2">
      <c r="A52" s="70">
        <v>43</v>
      </c>
      <c r="B52" s="11" t="s">
        <v>282</v>
      </c>
      <c r="C52" s="12" t="s">
        <v>30</v>
      </c>
      <c r="D52" s="20" t="s">
        <v>262</v>
      </c>
      <c r="E52" s="22" t="s">
        <v>37</v>
      </c>
      <c r="F52" s="14" t="s">
        <v>44</v>
      </c>
      <c r="G52" s="5" t="s">
        <v>323</v>
      </c>
      <c r="H52" s="5" t="s">
        <v>309</v>
      </c>
      <c r="I52" s="5" t="s">
        <v>252</v>
      </c>
      <c r="J52" s="5" t="s">
        <v>315</v>
      </c>
      <c r="K52" s="5" t="s">
        <v>27</v>
      </c>
      <c r="L52" s="5" t="s">
        <v>242</v>
      </c>
      <c r="M52" s="86">
        <v>27910000000</v>
      </c>
      <c r="N52" s="4">
        <v>2.856E-3</v>
      </c>
      <c r="O52" s="33">
        <f>10714090855+31812058+606340953</f>
        <v>11352243866</v>
      </c>
      <c r="P52" s="33"/>
      <c r="Q52" s="33"/>
      <c r="R52" s="33"/>
      <c r="S52" s="48">
        <f t="shared" ref="S52:S56" si="7">SUM(O52:R52)</f>
        <v>11352243866</v>
      </c>
      <c r="T52" s="42" t="s">
        <v>247</v>
      </c>
      <c r="U52" s="17">
        <f t="shared" ref="U52:U56" si="8">+S52/M52</f>
        <v>0.40674467452525975</v>
      </c>
      <c r="V52" s="13">
        <f t="shared" ref="V52:V56" si="9">+IF(U52&lt;=100%,U52*N52,N52)</f>
        <v>1.1616627904441419E-3</v>
      </c>
      <c r="W52" s="58" t="s">
        <v>429</v>
      </c>
      <c r="X52" s="58"/>
      <c r="Y52" s="58"/>
      <c r="Z52" s="58"/>
    </row>
    <row r="53" spans="1:26" s="6" customFormat="1" ht="114.75" customHeight="1" x14ac:dyDescent="0.2">
      <c r="A53" s="70">
        <v>44</v>
      </c>
      <c r="B53" s="11" t="s">
        <v>282</v>
      </c>
      <c r="C53" s="12" t="s">
        <v>30</v>
      </c>
      <c r="D53" s="20" t="s">
        <v>262</v>
      </c>
      <c r="E53" s="22" t="s">
        <v>37</v>
      </c>
      <c r="F53" s="14" t="s">
        <v>44</v>
      </c>
      <c r="G53" s="5" t="s">
        <v>308</v>
      </c>
      <c r="H53" s="5" t="s">
        <v>310</v>
      </c>
      <c r="I53" s="5" t="s">
        <v>252</v>
      </c>
      <c r="J53" s="5" t="s">
        <v>316</v>
      </c>
      <c r="K53" s="5" t="s">
        <v>27</v>
      </c>
      <c r="L53" s="5" t="s">
        <v>242</v>
      </c>
      <c r="M53" s="86">
        <v>550000000</v>
      </c>
      <c r="N53" s="4">
        <v>3.0000000000000001E-3</v>
      </c>
      <c r="O53" s="33">
        <v>1547702</v>
      </c>
      <c r="P53" s="33"/>
      <c r="Q53" s="33"/>
      <c r="R53" s="33"/>
      <c r="S53" s="48">
        <f t="shared" si="7"/>
        <v>1547702</v>
      </c>
      <c r="T53" s="42" t="s">
        <v>247</v>
      </c>
      <c r="U53" s="17">
        <f t="shared" si="8"/>
        <v>2.8140036363636365E-3</v>
      </c>
      <c r="V53" s="13">
        <f t="shared" si="9"/>
        <v>8.4420109090909098E-6</v>
      </c>
      <c r="W53" s="58" t="s">
        <v>430</v>
      </c>
      <c r="X53" s="58"/>
      <c r="Y53" s="58"/>
      <c r="Z53" s="58"/>
    </row>
    <row r="54" spans="1:26" s="6" customFormat="1" ht="94.5" customHeight="1" x14ac:dyDescent="0.2">
      <c r="A54" s="70">
        <v>45</v>
      </c>
      <c r="B54" s="11" t="s">
        <v>282</v>
      </c>
      <c r="C54" s="12" t="s">
        <v>30</v>
      </c>
      <c r="D54" s="20" t="s">
        <v>262</v>
      </c>
      <c r="E54" s="22" t="s">
        <v>37</v>
      </c>
      <c r="F54" s="14" t="s">
        <v>44</v>
      </c>
      <c r="G54" s="5" t="s">
        <v>322</v>
      </c>
      <c r="H54" s="5" t="s">
        <v>311</v>
      </c>
      <c r="I54" s="5" t="s">
        <v>252</v>
      </c>
      <c r="J54" s="5" t="s">
        <v>324</v>
      </c>
      <c r="K54" s="5" t="s">
        <v>27</v>
      </c>
      <c r="L54" s="5" t="s">
        <v>242</v>
      </c>
      <c r="M54" s="86">
        <v>1000000000</v>
      </c>
      <c r="N54" s="4">
        <v>3.0000000000000001E-3</v>
      </c>
      <c r="O54" s="33">
        <v>68113666</v>
      </c>
      <c r="P54" s="33"/>
      <c r="Q54" s="33"/>
      <c r="R54" s="33"/>
      <c r="S54" s="48">
        <f t="shared" si="7"/>
        <v>68113666</v>
      </c>
      <c r="T54" s="42" t="s">
        <v>247</v>
      </c>
      <c r="U54" s="17">
        <f t="shared" si="8"/>
        <v>6.8113666000000003E-2</v>
      </c>
      <c r="V54" s="13">
        <f t="shared" si="9"/>
        <v>2.0434099800000001E-4</v>
      </c>
      <c r="W54" s="58" t="s">
        <v>431</v>
      </c>
      <c r="X54" s="58"/>
      <c r="Y54" s="58"/>
      <c r="Z54" s="58"/>
    </row>
    <row r="55" spans="1:26" s="6" customFormat="1" ht="94.5" customHeight="1" x14ac:dyDescent="0.2">
      <c r="A55" s="70">
        <v>46</v>
      </c>
      <c r="B55" s="11" t="s">
        <v>282</v>
      </c>
      <c r="C55" s="12" t="s">
        <v>30</v>
      </c>
      <c r="D55" s="20" t="s">
        <v>262</v>
      </c>
      <c r="E55" s="22" t="s">
        <v>37</v>
      </c>
      <c r="F55" s="14" t="s">
        <v>44</v>
      </c>
      <c r="G55" s="5" t="s">
        <v>312</v>
      </c>
      <c r="H55" s="5" t="s">
        <v>313</v>
      </c>
      <c r="I55" s="5" t="s">
        <v>252</v>
      </c>
      <c r="J55" s="5" t="s">
        <v>317</v>
      </c>
      <c r="K55" s="5" t="s">
        <v>27</v>
      </c>
      <c r="L55" s="5" t="s">
        <v>242</v>
      </c>
      <c r="M55" s="86">
        <v>9800000000</v>
      </c>
      <c r="N55" s="4">
        <v>2.856E-3</v>
      </c>
      <c r="O55" s="33">
        <v>390233730</v>
      </c>
      <c r="P55" s="33"/>
      <c r="Q55" s="33"/>
      <c r="R55" s="33"/>
      <c r="S55" s="48">
        <f t="shared" si="7"/>
        <v>390233730</v>
      </c>
      <c r="T55" s="42" t="s">
        <v>247</v>
      </c>
      <c r="U55" s="17">
        <f t="shared" si="8"/>
        <v>3.9819768367346936E-2</v>
      </c>
      <c r="V55" s="13">
        <f t="shared" si="9"/>
        <v>1.1372525845714285E-4</v>
      </c>
      <c r="W55" s="58" t="s">
        <v>432</v>
      </c>
      <c r="X55" s="58"/>
      <c r="Y55" s="58"/>
      <c r="Z55" s="58"/>
    </row>
    <row r="56" spans="1:26" s="6" customFormat="1" ht="94.5" customHeight="1" x14ac:dyDescent="0.2">
      <c r="A56" s="70">
        <v>47</v>
      </c>
      <c r="B56" s="11" t="s">
        <v>282</v>
      </c>
      <c r="C56" s="12" t="s">
        <v>30</v>
      </c>
      <c r="D56" s="20" t="s">
        <v>262</v>
      </c>
      <c r="E56" s="22" t="s">
        <v>37</v>
      </c>
      <c r="F56" s="14" t="s">
        <v>44</v>
      </c>
      <c r="G56" s="5" t="s">
        <v>318</v>
      </c>
      <c r="H56" s="5" t="s">
        <v>314</v>
      </c>
      <c r="I56" s="5" t="s">
        <v>252</v>
      </c>
      <c r="J56" s="5" t="s">
        <v>319</v>
      </c>
      <c r="K56" s="5" t="s">
        <v>27</v>
      </c>
      <c r="L56" s="5" t="s">
        <v>242</v>
      </c>
      <c r="M56" s="86">
        <v>1100000000</v>
      </c>
      <c r="N56" s="4">
        <v>2.856E-3</v>
      </c>
      <c r="O56" s="33">
        <v>112432372</v>
      </c>
      <c r="P56" s="33"/>
      <c r="Q56" s="33"/>
      <c r="R56" s="33"/>
      <c r="S56" s="48">
        <f t="shared" si="7"/>
        <v>112432372</v>
      </c>
      <c r="T56" s="42" t="s">
        <v>247</v>
      </c>
      <c r="U56" s="17">
        <f t="shared" si="8"/>
        <v>0.10221124727272728</v>
      </c>
      <c r="V56" s="13">
        <f t="shared" si="9"/>
        <v>2.9191532221090912E-4</v>
      </c>
      <c r="W56" s="58" t="s">
        <v>433</v>
      </c>
      <c r="X56" s="58"/>
      <c r="Y56" s="58"/>
      <c r="Z56" s="58"/>
    </row>
    <row r="57" spans="1:26" s="6" customFormat="1" ht="94.5" customHeight="1" x14ac:dyDescent="0.2">
      <c r="A57" s="70">
        <v>48</v>
      </c>
      <c r="B57" s="11" t="s">
        <v>283</v>
      </c>
      <c r="C57" s="12" t="s">
        <v>30</v>
      </c>
      <c r="D57" s="20" t="s">
        <v>261</v>
      </c>
      <c r="E57" s="22" t="s">
        <v>37</v>
      </c>
      <c r="F57" s="14" t="s">
        <v>44</v>
      </c>
      <c r="G57" s="5" t="s">
        <v>129</v>
      </c>
      <c r="H57" s="5" t="s">
        <v>130</v>
      </c>
      <c r="I57" s="5" t="s">
        <v>253</v>
      </c>
      <c r="J57" s="5" t="s">
        <v>218</v>
      </c>
      <c r="K57" s="5" t="s">
        <v>27</v>
      </c>
      <c r="L57" s="5" t="s">
        <v>242</v>
      </c>
      <c r="M57" s="94">
        <v>0.85</v>
      </c>
      <c r="N57" s="4">
        <v>1.3125000000000003E-2</v>
      </c>
      <c r="O57" s="29">
        <v>0</v>
      </c>
      <c r="P57" s="29"/>
      <c r="Q57" s="29"/>
      <c r="R57" s="35"/>
      <c r="S57" s="44">
        <f>+MAX(O57:R57)</f>
        <v>0</v>
      </c>
      <c r="T57" s="42" t="s">
        <v>245</v>
      </c>
      <c r="U57" s="17">
        <f t="shared" si="5"/>
        <v>0</v>
      </c>
      <c r="V57" s="13">
        <f t="shared" si="4"/>
        <v>0</v>
      </c>
      <c r="W57" s="58" t="s">
        <v>434</v>
      </c>
      <c r="X57" s="58"/>
      <c r="Y57" s="58"/>
      <c r="Z57" s="58"/>
    </row>
    <row r="58" spans="1:26" s="6" customFormat="1" ht="94.5" customHeight="1" x14ac:dyDescent="0.2">
      <c r="A58" s="70">
        <v>49</v>
      </c>
      <c r="B58" s="11" t="s">
        <v>283</v>
      </c>
      <c r="C58" s="12" t="s">
        <v>30</v>
      </c>
      <c r="D58" s="20" t="s">
        <v>261</v>
      </c>
      <c r="E58" s="22" t="s">
        <v>37</v>
      </c>
      <c r="F58" s="14" t="s">
        <v>44</v>
      </c>
      <c r="G58" s="5" t="s">
        <v>131</v>
      </c>
      <c r="H58" s="5" t="s">
        <v>132</v>
      </c>
      <c r="I58" s="5" t="s">
        <v>254</v>
      </c>
      <c r="J58" s="5" t="s">
        <v>219</v>
      </c>
      <c r="K58" s="5" t="s">
        <v>27</v>
      </c>
      <c r="L58" s="5" t="s">
        <v>242</v>
      </c>
      <c r="M58" s="68">
        <v>1</v>
      </c>
      <c r="N58" s="4">
        <v>3.3250000000000003E-3</v>
      </c>
      <c r="O58" s="28">
        <v>0</v>
      </c>
      <c r="P58" s="28"/>
      <c r="Q58" s="28"/>
      <c r="R58" s="28"/>
      <c r="S58" s="46">
        <f>SUM(O58:R58)</f>
        <v>0</v>
      </c>
      <c r="T58" s="42" t="s">
        <v>247</v>
      </c>
      <c r="U58" s="17">
        <f t="shared" si="5"/>
        <v>0</v>
      </c>
      <c r="V58" s="13">
        <f t="shared" si="4"/>
        <v>0</v>
      </c>
      <c r="W58" s="58" t="s">
        <v>435</v>
      </c>
      <c r="X58" s="58"/>
      <c r="Y58" s="58"/>
      <c r="Z58" s="58"/>
    </row>
    <row r="59" spans="1:26" s="6" customFormat="1" ht="94.5" customHeight="1" x14ac:dyDescent="0.2">
      <c r="A59" s="70">
        <v>50</v>
      </c>
      <c r="B59" s="11" t="s">
        <v>283</v>
      </c>
      <c r="C59" s="12" t="s">
        <v>30</v>
      </c>
      <c r="D59" s="20" t="s">
        <v>261</v>
      </c>
      <c r="E59" s="22" t="s">
        <v>37</v>
      </c>
      <c r="F59" s="14" t="s">
        <v>45</v>
      </c>
      <c r="G59" s="5" t="s">
        <v>133</v>
      </c>
      <c r="H59" s="5" t="s">
        <v>134</v>
      </c>
      <c r="I59" s="5" t="s">
        <v>253</v>
      </c>
      <c r="J59" s="5" t="s">
        <v>220</v>
      </c>
      <c r="K59" s="5" t="s">
        <v>27</v>
      </c>
      <c r="L59" s="5" t="s">
        <v>243</v>
      </c>
      <c r="M59" s="26">
        <v>1</v>
      </c>
      <c r="N59" s="4">
        <v>7.0000000000000001E-3</v>
      </c>
      <c r="O59" s="34">
        <v>0</v>
      </c>
      <c r="P59" s="34"/>
      <c r="Q59" s="34"/>
      <c r="R59" s="34"/>
      <c r="S59" s="44">
        <f>+MAX(O59:R59)</f>
        <v>0</v>
      </c>
      <c r="T59" s="42" t="s">
        <v>246</v>
      </c>
      <c r="U59" s="17">
        <f t="shared" si="5"/>
        <v>0</v>
      </c>
      <c r="V59" s="13">
        <f t="shared" si="4"/>
        <v>0</v>
      </c>
      <c r="W59" s="58" t="s">
        <v>436</v>
      </c>
      <c r="X59" s="58"/>
      <c r="Y59" s="58"/>
      <c r="Z59" s="58"/>
    </row>
    <row r="60" spans="1:26" s="6" customFormat="1" ht="94.5" customHeight="1" x14ac:dyDescent="0.2">
      <c r="A60" s="70">
        <v>51</v>
      </c>
      <c r="B60" s="11" t="s">
        <v>283</v>
      </c>
      <c r="C60" s="12" t="s">
        <v>30</v>
      </c>
      <c r="D60" s="20" t="s">
        <v>261</v>
      </c>
      <c r="E60" s="22" t="s">
        <v>37</v>
      </c>
      <c r="F60" s="14" t="s">
        <v>45</v>
      </c>
      <c r="G60" s="5" t="s">
        <v>135</v>
      </c>
      <c r="H60" s="5" t="s">
        <v>136</v>
      </c>
      <c r="I60" s="5" t="s">
        <v>252</v>
      </c>
      <c r="J60" s="5" t="s">
        <v>221</v>
      </c>
      <c r="K60" s="5" t="s">
        <v>27</v>
      </c>
      <c r="L60" s="5" t="s">
        <v>243</v>
      </c>
      <c r="M60" s="26">
        <v>1</v>
      </c>
      <c r="N60" s="4">
        <v>5.8333333333333336E-3</v>
      </c>
      <c r="O60" s="34">
        <v>0</v>
      </c>
      <c r="P60" s="34"/>
      <c r="Q60" s="34"/>
      <c r="R60" s="34"/>
      <c r="S60" s="44">
        <f>+MAX(O60:R60)</f>
        <v>0</v>
      </c>
      <c r="T60" s="42" t="s">
        <v>246</v>
      </c>
      <c r="U60" s="17">
        <f t="shared" si="5"/>
        <v>0</v>
      </c>
      <c r="V60" s="13">
        <f t="shared" si="4"/>
        <v>0</v>
      </c>
      <c r="W60" s="58" t="s">
        <v>437</v>
      </c>
      <c r="X60" s="58"/>
      <c r="Y60" s="58"/>
      <c r="Z60" s="58"/>
    </row>
    <row r="61" spans="1:26" s="6" customFormat="1" ht="135.75" customHeight="1" x14ac:dyDescent="0.2">
      <c r="A61" s="70">
        <v>52</v>
      </c>
      <c r="B61" s="11" t="s">
        <v>283</v>
      </c>
      <c r="C61" s="12" t="s">
        <v>30</v>
      </c>
      <c r="D61" s="20" t="s">
        <v>261</v>
      </c>
      <c r="E61" s="22" t="s">
        <v>37</v>
      </c>
      <c r="F61" s="14" t="s">
        <v>45</v>
      </c>
      <c r="G61" s="5" t="s">
        <v>137</v>
      </c>
      <c r="H61" s="5" t="s">
        <v>138</v>
      </c>
      <c r="I61" s="5" t="s">
        <v>252</v>
      </c>
      <c r="J61" s="5" t="s">
        <v>222</v>
      </c>
      <c r="K61" s="5" t="s">
        <v>27</v>
      </c>
      <c r="L61" s="5" t="s">
        <v>243</v>
      </c>
      <c r="M61" s="26">
        <v>1</v>
      </c>
      <c r="N61" s="4">
        <v>5.8333333333333336E-3</v>
      </c>
      <c r="O61" s="34">
        <v>0.32</v>
      </c>
      <c r="P61" s="34"/>
      <c r="Q61" s="34"/>
      <c r="R61" s="34"/>
      <c r="S61" s="44">
        <f>+MAX(O61:R61)</f>
        <v>0.32</v>
      </c>
      <c r="T61" s="42" t="s">
        <v>246</v>
      </c>
      <c r="U61" s="17">
        <f t="shared" si="5"/>
        <v>0.32</v>
      </c>
      <c r="V61" s="13">
        <f t="shared" si="4"/>
        <v>1.8666666666666669E-3</v>
      </c>
      <c r="W61" s="58" t="s">
        <v>438</v>
      </c>
      <c r="X61" s="58"/>
      <c r="Y61" s="58"/>
      <c r="Z61" s="58"/>
    </row>
    <row r="62" spans="1:26" s="6" customFormat="1" ht="94.5" customHeight="1" x14ac:dyDescent="0.2">
      <c r="A62" s="70">
        <v>53</v>
      </c>
      <c r="B62" s="11" t="s">
        <v>283</v>
      </c>
      <c r="C62" s="12" t="s">
        <v>30</v>
      </c>
      <c r="D62" s="20" t="s">
        <v>261</v>
      </c>
      <c r="E62" s="22" t="s">
        <v>37</v>
      </c>
      <c r="F62" s="14" t="s">
        <v>45</v>
      </c>
      <c r="G62" s="5" t="s">
        <v>131</v>
      </c>
      <c r="H62" s="5" t="s">
        <v>139</v>
      </c>
      <c r="I62" s="5" t="s">
        <v>253</v>
      </c>
      <c r="J62" s="5" t="s">
        <v>223</v>
      </c>
      <c r="K62" s="5" t="s">
        <v>27</v>
      </c>
      <c r="L62" s="5" t="s">
        <v>243</v>
      </c>
      <c r="M62" s="26">
        <v>1</v>
      </c>
      <c r="N62" s="4">
        <v>3.5000000000000001E-3</v>
      </c>
      <c r="O62" s="34">
        <v>0</v>
      </c>
      <c r="P62" s="34"/>
      <c r="Q62" s="34"/>
      <c r="R62" s="34"/>
      <c r="S62" s="44">
        <f>+MAX(O62:R62)</f>
        <v>0</v>
      </c>
      <c r="T62" s="42" t="s">
        <v>246</v>
      </c>
      <c r="U62" s="17">
        <f t="shared" si="5"/>
        <v>0</v>
      </c>
      <c r="V62" s="13">
        <f t="shared" si="4"/>
        <v>0</v>
      </c>
      <c r="W62" s="58" t="s">
        <v>439</v>
      </c>
      <c r="X62" s="58"/>
      <c r="Y62" s="58"/>
      <c r="Z62" s="58"/>
    </row>
    <row r="63" spans="1:26" s="6" customFormat="1" ht="94.5" customHeight="1" x14ac:dyDescent="0.2">
      <c r="A63" s="70">
        <v>54</v>
      </c>
      <c r="B63" s="11" t="s">
        <v>283</v>
      </c>
      <c r="C63" s="12" t="s">
        <v>30</v>
      </c>
      <c r="D63" s="20" t="s">
        <v>261</v>
      </c>
      <c r="E63" s="22" t="s">
        <v>37</v>
      </c>
      <c r="F63" s="14" t="s">
        <v>45</v>
      </c>
      <c r="G63" s="5" t="s">
        <v>140</v>
      </c>
      <c r="H63" s="5" t="s">
        <v>279</v>
      </c>
      <c r="I63" s="5" t="s">
        <v>253</v>
      </c>
      <c r="J63" s="5" t="s">
        <v>278</v>
      </c>
      <c r="K63" s="5" t="s">
        <v>27</v>
      </c>
      <c r="L63" s="5" t="s">
        <v>242</v>
      </c>
      <c r="M63" s="24">
        <v>3</v>
      </c>
      <c r="N63" s="4">
        <v>3.5000000000000005E-3</v>
      </c>
      <c r="O63" s="28">
        <v>1</v>
      </c>
      <c r="P63" s="28"/>
      <c r="Q63" s="28"/>
      <c r="R63" s="28"/>
      <c r="S63" s="46">
        <f>SUM(O63:R63)</f>
        <v>1</v>
      </c>
      <c r="T63" s="42" t="s">
        <v>247</v>
      </c>
      <c r="U63" s="17">
        <f t="shared" si="5"/>
        <v>0.33333333333333331</v>
      </c>
      <c r="V63" s="13">
        <f t="shared" si="4"/>
        <v>1.1666666666666668E-3</v>
      </c>
      <c r="W63" s="58" t="s">
        <v>440</v>
      </c>
      <c r="X63" s="58"/>
      <c r="Y63" s="58"/>
      <c r="Z63" s="58"/>
    </row>
    <row r="64" spans="1:26" s="6" customFormat="1" ht="122.25" customHeight="1" x14ac:dyDescent="0.2">
      <c r="A64" s="70">
        <v>55</v>
      </c>
      <c r="B64" s="11" t="s">
        <v>283</v>
      </c>
      <c r="C64" s="12" t="s">
        <v>30</v>
      </c>
      <c r="D64" s="20" t="s">
        <v>261</v>
      </c>
      <c r="E64" s="22" t="s">
        <v>37</v>
      </c>
      <c r="F64" s="14" t="s">
        <v>45</v>
      </c>
      <c r="G64" s="5" t="s">
        <v>352</v>
      </c>
      <c r="H64" s="5" t="s">
        <v>353</v>
      </c>
      <c r="I64" s="5" t="s">
        <v>253</v>
      </c>
      <c r="J64" s="5" t="s">
        <v>342</v>
      </c>
      <c r="K64" s="5" t="s">
        <v>27</v>
      </c>
      <c r="L64" s="5" t="s">
        <v>242</v>
      </c>
      <c r="M64" s="24">
        <v>2</v>
      </c>
      <c r="N64" s="4">
        <v>3.5000000000000005E-3</v>
      </c>
      <c r="O64" s="28">
        <v>0</v>
      </c>
      <c r="P64" s="28"/>
      <c r="Q64" s="28"/>
      <c r="R64" s="28"/>
      <c r="S64" s="46">
        <f>SUM(O64:R64)</f>
        <v>0</v>
      </c>
      <c r="T64" s="42" t="s">
        <v>247</v>
      </c>
      <c r="U64" s="17">
        <f t="shared" si="5"/>
        <v>0</v>
      </c>
      <c r="V64" s="13">
        <f t="shared" si="4"/>
        <v>0</v>
      </c>
      <c r="W64" s="58" t="s">
        <v>441</v>
      </c>
      <c r="X64" s="58"/>
      <c r="Y64" s="58"/>
      <c r="Z64" s="58"/>
    </row>
    <row r="65" spans="1:26" s="6" customFormat="1" ht="94.5" customHeight="1" x14ac:dyDescent="0.2">
      <c r="A65" s="70">
        <v>56</v>
      </c>
      <c r="B65" s="11" t="s">
        <v>283</v>
      </c>
      <c r="C65" s="12" t="s">
        <v>30</v>
      </c>
      <c r="D65" s="20" t="s">
        <v>261</v>
      </c>
      <c r="E65" s="22" t="s">
        <v>37</v>
      </c>
      <c r="F65" s="14" t="s">
        <v>42</v>
      </c>
      <c r="G65" s="5" t="s">
        <v>133</v>
      </c>
      <c r="H65" s="5" t="s">
        <v>134</v>
      </c>
      <c r="I65" s="5" t="s">
        <v>253</v>
      </c>
      <c r="J65" s="5" t="s">
        <v>220</v>
      </c>
      <c r="K65" s="5" t="s">
        <v>27</v>
      </c>
      <c r="L65" s="5" t="s">
        <v>243</v>
      </c>
      <c r="M65" s="26">
        <v>1</v>
      </c>
      <c r="N65" s="4">
        <v>5.9500000000000013E-3</v>
      </c>
      <c r="O65" s="34">
        <v>0</v>
      </c>
      <c r="P65" s="34"/>
      <c r="Q65" s="34"/>
      <c r="R65" s="34"/>
      <c r="S65" s="44">
        <f>+MAX(O65:R65)</f>
        <v>0</v>
      </c>
      <c r="T65" s="42" t="s">
        <v>246</v>
      </c>
      <c r="U65" s="17">
        <f t="shared" si="5"/>
        <v>0</v>
      </c>
      <c r="V65" s="13">
        <f t="shared" si="4"/>
        <v>0</v>
      </c>
      <c r="W65" s="58" t="s">
        <v>418</v>
      </c>
      <c r="X65" s="58"/>
      <c r="Y65" s="58"/>
      <c r="Z65" s="58"/>
    </row>
    <row r="66" spans="1:26" s="6" customFormat="1" ht="94.5" customHeight="1" x14ac:dyDescent="0.2">
      <c r="A66" s="70">
        <v>57</v>
      </c>
      <c r="B66" s="11" t="s">
        <v>283</v>
      </c>
      <c r="C66" s="12" t="s">
        <v>30</v>
      </c>
      <c r="D66" s="20" t="s">
        <v>261</v>
      </c>
      <c r="E66" s="22" t="s">
        <v>37</v>
      </c>
      <c r="F66" s="14" t="s">
        <v>42</v>
      </c>
      <c r="G66" s="5" t="s">
        <v>142</v>
      </c>
      <c r="H66" s="5" t="s">
        <v>143</v>
      </c>
      <c r="I66" s="5" t="s">
        <v>253</v>
      </c>
      <c r="J66" s="5" t="s">
        <v>220</v>
      </c>
      <c r="K66" s="5" t="s">
        <v>27</v>
      </c>
      <c r="L66" s="5" t="s">
        <v>243</v>
      </c>
      <c r="M66" s="26">
        <v>1</v>
      </c>
      <c r="N66" s="4">
        <v>7.6899999999999998E-3</v>
      </c>
      <c r="O66" s="34">
        <v>0.11</v>
      </c>
      <c r="P66" s="34"/>
      <c r="Q66" s="34"/>
      <c r="R66" s="34"/>
      <c r="S66" s="44">
        <f>+MAX(O66:R66)</f>
        <v>0.11</v>
      </c>
      <c r="T66" s="42" t="s">
        <v>246</v>
      </c>
      <c r="U66" s="17">
        <f t="shared" si="5"/>
        <v>0.11</v>
      </c>
      <c r="V66" s="13">
        <f t="shared" si="4"/>
        <v>8.4590000000000002E-4</v>
      </c>
      <c r="W66" s="58" t="s">
        <v>419</v>
      </c>
      <c r="X66" s="58"/>
      <c r="Y66" s="58"/>
      <c r="Z66" s="58"/>
    </row>
    <row r="67" spans="1:26" s="6" customFormat="1" ht="94.5" customHeight="1" x14ac:dyDescent="0.2">
      <c r="A67" s="70">
        <v>58</v>
      </c>
      <c r="B67" s="11" t="s">
        <v>283</v>
      </c>
      <c r="C67" s="12" t="s">
        <v>30</v>
      </c>
      <c r="D67" s="20" t="s">
        <v>257</v>
      </c>
      <c r="E67" s="22" t="s">
        <v>37</v>
      </c>
      <c r="F67" s="14" t="s">
        <v>42</v>
      </c>
      <c r="G67" s="5" t="s">
        <v>144</v>
      </c>
      <c r="H67" s="5" t="s">
        <v>145</v>
      </c>
      <c r="I67" s="5" t="s">
        <v>253</v>
      </c>
      <c r="J67" s="5" t="s">
        <v>224</v>
      </c>
      <c r="K67" s="5" t="s">
        <v>27</v>
      </c>
      <c r="L67" s="5" t="s">
        <v>242</v>
      </c>
      <c r="M67" s="24">
        <v>12</v>
      </c>
      <c r="N67" s="4">
        <v>7.6E-3</v>
      </c>
      <c r="O67" s="28">
        <v>3</v>
      </c>
      <c r="P67" s="28"/>
      <c r="Q67" s="28"/>
      <c r="R67" s="28"/>
      <c r="S67" s="46">
        <f>SUM(O67:R67)</f>
        <v>3</v>
      </c>
      <c r="T67" s="42" t="s">
        <v>247</v>
      </c>
      <c r="U67" s="17">
        <f t="shared" si="5"/>
        <v>0.25</v>
      </c>
      <c r="V67" s="13">
        <f t="shared" si="4"/>
        <v>1.9E-3</v>
      </c>
      <c r="W67" s="65" t="s">
        <v>420</v>
      </c>
      <c r="X67" s="58"/>
      <c r="Y67" s="58"/>
      <c r="Z67" s="58"/>
    </row>
    <row r="68" spans="1:26" s="6" customFormat="1" ht="94.5" customHeight="1" x14ac:dyDescent="0.2">
      <c r="A68" s="70">
        <v>59</v>
      </c>
      <c r="B68" s="11" t="s">
        <v>283</v>
      </c>
      <c r="C68" s="12" t="s">
        <v>30</v>
      </c>
      <c r="D68" s="20" t="s">
        <v>261</v>
      </c>
      <c r="E68" s="22" t="s">
        <v>37</v>
      </c>
      <c r="F68" s="14" t="s">
        <v>42</v>
      </c>
      <c r="G68" s="5" t="s">
        <v>129</v>
      </c>
      <c r="H68" s="5" t="s">
        <v>130</v>
      </c>
      <c r="I68" s="5" t="s">
        <v>253</v>
      </c>
      <c r="J68" s="5" t="s">
        <v>218</v>
      </c>
      <c r="K68" s="5" t="s">
        <v>27</v>
      </c>
      <c r="L68" s="5" t="s">
        <v>242</v>
      </c>
      <c r="M68" s="27">
        <v>0.85</v>
      </c>
      <c r="N68" s="4">
        <v>6.1999999999999998E-3</v>
      </c>
      <c r="O68" s="29">
        <v>0</v>
      </c>
      <c r="P68" s="29"/>
      <c r="Q68" s="29"/>
      <c r="R68" s="29"/>
      <c r="S68" s="44">
        <f>+MAX(O68:R68)</f>
        <v>0</v>
      </c>
      <c r="T68" s="42" t="s">
        <v>245</v>
      </c>
      <c r="U68" s="17">
        <f t="shared" si="5"/>
        <v>0</v>
      </c>
      <c r="V68" s="13">
        <f t="shared" si="4"/>
        <v>0</v>
      </c>
      <c r="W68" s="65" t="s">
        <v>421</v>
      </c>
      <c r="X68" s="58"/>
      <c r="Y68" s="58"/>
      <c r="Z68" s="58"/>
    </row>
    <row r="69" spans="1:26" s="6" customFormat="1" ht="94.5" customHeight="1" x14ac:dyDescent="0.2">
      <c r="A69" s="70">
        <v>60</v>
      </c>
      <c r="B69" s="11" t="s">
        <v>283</v>
      </c>
      <c r="C69" s="12" t="s">
        <v>30</v>
      </c>
      <c r="D69" s="20" t="s">
        <v>257</v>
      </c>
      <c r="E69" s="22" t="s">
        <v>37</v>
      </c>
      <c r="F69" s="14" t="s">
        <v>42</v>
      </c>
      <c r="G69" s="5" t="s">
        <v>146</v>
      </c>
      <c r="H69" s="5" t="s">
        <v>147</v>
      </c>
      <c r="I69" s="5" t="s">
        <v>253</v>
      </c>
      <c r="J69" s="5" t="s">
        <v>225</v>
      </c>
      <c r="K69" s="5" t="s">
        <v>27</v>
      </c>
      <c r="L69" s="5" t="s">
        <v>242</v>
      </c>
      <c r="M69" s="24">
        <v>12</v>
      </c>
      <c r="N69" s="4">
        <v>7.8750000000000001E-3</v>
      </c>
      <c r="O69" s="28">
        <v>3</v>
      </c>
      <c r="P69" s="28"/>
      <c r="Q69" s="28"/>
      <c r="R69" s="28"/>
      <c r="S69" s="46">
        <f>SUM(O69:R69)</f>
        <v>3</v>
      </c>
      <c r="T69" s="42" t="s">
        <v>247</v>
      </c>
      <c r="U69" s="17">
        <f t="shared" si="5"/>
        <v>0.25</v>
      </c>
      <c r="V69" s="13">
        <f t="shared" si="4"/>
        <v>1.96875E-3</v>
      </c>
      <c r="W69" s="65" t="s">
        <v>422</v>
      </c>
      <c r="X69" s="58"/>
      <c r="Y69" s="58"/>
      <c r="Z69" s="58"/>
    </row>
    <row r="70" spans="1:26" s="6" customFormat="1" ht="94.5" customHeight="1" x14ac:dyDescent="0.2">
      <c r="A70" s="70">
        <v>61</v>
      </c>
      <c r="B70" s="11" t="s">
        <v>283</v>
      </c>
      <c r="C70" s="12" t="s">
        <v>30</v>
      </c>
      <c r="D70" s="20" t="s">
        <v>261</v>
      </c>
      <c r="E70" s="22" t="s">
        <v>37</v>
      </c>
      <c r="F70" s="14" t="s">
        <v>42</v>
      </c>
      <c r="G70" s="5" t="s">
        <v>131</v>
      </c>
      <c r="H70" s="5" t="s">
        <v>132</v>
      </c>
      <c r="I70" s="5" t="s">
        <v>253</v>
      </c>
      <c r="J70" s="5" t="s">
        <v>219</v>
      </c>
      <c r="K70" s="5" t="s">
        <v>27</v>
      </c>
      <c r="L70" s="5" t="s">
        <v>242</v>
      </c>
      <c r="M70" s="24">
        <v>1</v>
      </c>
      <c r="N70" s="4">
        <v>5.3249999999999999E-3</v>
      </c>
      <c r="O70" s="28">
        <v>0</v>
      </c>
      <c r="P70" s="28"/>
      <c r="Q70" s="28"/>
      <c r="R70" s="28"/>
      <c r="S70" s="46">
        <f>SUM(O70:R70)</f>
        <v>0</v>
      </c>
      <c r="T70" s="42" t="s">
        <v>247</v>
      </c>
      <c r="U70" s="17">
        <f t="shared" si="5"/>
        <v>0</v>
      </c>
      <c r="V70" s="13">
        <f t="shared" si="4"/>
        <v>0</v>
      </c>
      <c r="W70" s="65" t="s">
        <v>421</v>
      </c>
      <c r="X70" s="58"/>
      <c r="Y70" s="58"/>
      <c r="Z70" s="58"/>
    </row>
    <row r="71" spans="1:26" s="6" customFormat="1" ht="94.5" customHeight="1" x14ac:dyDescent="0.2">
      <c r="A71" s="70">
        <v>62</v>
      </c>
      <c r="B71" s="11" t="s">
        <v>283</v>
      </c>
      <c r="C71" s="12" t="s">
        <v>30</v>
      </c>
      <c r="D71" s="20" t="s">
        <v>261</v>
      </c>
      <c r="E71" s="22" t="s">
        <v>37</v>
      </c>
      <c r="F71" s="14" t="s">
        <v>42</v>
      </c>
      <c r="G71" s="5" t="s">
        <v>148</v>
      </c>
      <c r="H71" s="5" t="s">
        <v>280</v>
      </c>
      <c r="I71" s="5" t="s">
        <v>253</v>
      </c>
      <c r="J71" s="5" t="s">
        <v>343</v>
      </c>
      <c r="K71" s="5" t="s">
        <v>27</v>
      </c>
      <c r="L71" s="5" t="s">
        <v>242</v>
      </c>
      <c r="M71" s="26">
        <v>1</v>
      </c>
      <c r="N71" s="4">
        <v>5.2500000000000012E-3</v>
      </c>
      <c r="O71" s="57">
        <v>0.19148936170212799</v>
      </c>
      <c r="P71" s="57"/>
      <c r="Q71" s="57"/>
      <c r="R71" s="57"/>
      <c r="S71" s="46">
        <f>SUM(O71:R71)</f>
        <v>0.19148936170212799</v>
      </c>
      <c r="T71" s="42" t="s">
        <v>247</v>
      </c>
      <c r="U71" s="17">
        <f t="shared" si="5"/>
        <v>0.19148936170212799</v>
      </c>
      <c r="V71" s="13">
        <f t="shared" si="4"/>
        <v>1.0053191489361722E-3</v>
      </c>
      <c r="W71" s="58" t="s">
        <v>423</v>
      </c>
      <c r="X71" s="58"/>
      <c r="Y71" s="58"/>
      <c r="Z71" s="58"/>
    </row>
    <row r="72" spans="1:26" s="6" customFormat="1" ht="94.5" customHeight="1" x14ac:dyDescent="0.2">
      <c r="A72" s="70">
        <v>63</v>
      </c>
      <c r="B72" s="11" t="s">
        <v>283</v>
      </c>
      <c r="C72" s="12" t="s">
        <v>30</v>
      </c>
      <c r="D72" s="20" t="s">
        <v>261</v>
      </c>
      <c r="E72" s="22" t="s">
        <v>37</v>
      </c>
      <c r="F72" s="14" t="s">
        <v>38</v>
      </c>
      <c r="G72" s="5" t="s">
        <v>129</v>
      </c>
      <c r="H72" s="5" t="s">
        <v>130</v>
      </c>
      <c r="I72" s="5" t="s">
        <v>253</v>
      </c>
      <c r="J72" s="5" t="s">
        <v>218</v>
      </c>
      <c r="K72" s="5" t="s">
        <v>27</v>
      </c>
      <c r="L72" s="5" t="s">
        <v>242</v>
      </c>
      <c r="M72" s="27">
        <v>0.85</v>
      </c>
      <c r="N72" s="4">
        <v>5.2500000000000012E-3</v>
      </c>
      <c r="O72" s="29">
        <v>0</v>
      </c>
      <c r="P72" s="29"/>
      <c r="Q72" s="29"/>
      <c r="R72" s="29"/>
      <c r="S72" s="44">
        <f>+MAX(O72:R72)</f>
        <v>0</v>
      </c>
      <c r="T72" s="42" t="s">
        <v>245</v>
      </c>
      <c r="U72" s="17">
        <f t="shared" si="5"/>
        <v>0</v>
      </c>
      <c r="V72" s="13">
        <f t="shared" si="4"/>
        <v>0</v>
      </c>
      <c r="W72" s="58" t="s">
        <v>367</v>
      </c>
      <c r="X72" s="58"/>
      <c r="Y72" s="58"/>
      <c r="Z72" s="58"/>
    </row>
    <row r="73" spans="1:26" s="6" customFormat="1" ht="94.5" customHeight="1" x14ac:dyDescent="0.2">
      <c r="A73" s="70">
        <v>64</v>
      </c>
      <c r="B73" s="11" t="s">
        <v>283</v>
      </c>
      <c r="C73" s="12" t="s">
        <v>30</v>
      </c>
      <c r="D73" s="20" t="s">
        <v>259</v>
      </c>
      <c r="E73" s="22" t="s">
        <v>31</v>
      </c>
      <c r="F73" s="14" t="s">
        <v>38</v>
      </c>
      <c r="G73" s="5" t="s">
        <v>149</v>
      </c>
      <c r="H73" s="5" t="s">
        <v>150</v>
      </c>
      <c r="I73" s="5" t="s">
        <v>253</v>
      </c>
      <c r="J73" s="5" t="s">
        <v>226</v>
      </c>
      <c r="K73" s="5" t="s">
        <v>27</v>
      </c>
      <c r="L73" s="5" t="s">
        <v>242</v>
      </c>
      <c r="M73" s="24">
        <v>4</v>
      </c>
      <c r="N73" s="4">
        <v>5.8333333333333336E-3</v>
      </c>
      <c r="O73" s="101">
        <v>1</v>
      </c>
      <c r="P73" s="29"/>
      <c r="Q73" s="29"/>
      <c r="R73" s="29"/>
      <c r="S73" s="46">
        <f>SUM(O73:R73)</f>
        <v>1</v>
      </c>
      <c r="T73" s="42" t="s">
        <v>247</v>
      </c>
      <c r="U73" s="17">
        <f t="shared" si="5"/>
        <v>0.25</v>
      </c>
      <c r="V73" s="13">
        <f t="shared" si="4"/>
        <v>1.4583333333333334E-3</v>
      </c>
      <c r="W73" s="58" t="s">
        <v>379</v>
      </c>
      <c r="X73" s="58"/>
      <c r="Y73" s="58"/>
      <c r="Z73" s="58"/>
    </row>
    <row r="74" spans="1:26" s="6" customFormat="1" ht="94.5" customHeight="1" x14ac:dyDescent="0.2">
      <c r="A74" s="70">
        <v>65</v>
      </c>
      <c r="B74" s="11" t="s">
        <v>283</v>
      </c>
      <c r="C74" s="12" t="s">
        <v>30</v>
      </c>
      <c r="D74" s="20" t="s">
        <v>261</v>
      </c>
      <c r="E74" s="22" t="s">
        <v>37</v>
      </c>
      <c r="F74" s="14" t="s">
        <v>38</v>
      </c>
      <c r="G74" s="5" t="s">
        <v>151</v>
      </c>
      <c r="H74" s="5" t="s">
        <v>152</v>
      </c>
      <c r="I74" s="5" t="s">
        <v>253</v>
      </c>
      <c r="J74" s="5" t="s">
        <v>344</v>
      </c>
      <c r="K74" s="5" t="s">
        <v>27</v>
      </c>
      <c r="L74" s="5" t="s">
        <v>243</v>
      </c>
      <c r="M74" s="26">
        <v>1</v>
      </c>
      <c r="N74" s="4">
        <v>8.1666666666666676E-3</v>
      </c>
      <c r="O74" s="106">
        <v>0</v>
      </c>
      <c r="P74" s="34"/>
      <c r="Q74" s="34"/>
      <c r="R74" s="34"/>
      <c r="S74" s="44">
        <f>+R74</f>
        <v>0</v>
      </c>
      <c r="T74" s="42" t="s">
        <v>248</v>
      </c>
      <c r="U74" s="17">
        <f t="shared" si="5"/>
        <v>0</v>
      </c>
      <c r="V74" s="13">
        <f t="shared" si="4"/>
        <v>0</v>
      </c>
      <c r="W74" s="58" t="s">
        <v>411</v>
      </c>
      <c r="X74" s="58"/>
      <c r="Y74" s="58"/>
      <c r="Z74" s="58"/>
    </row>
    <row r="75" spans="1:26" s="6" customFormat="1" ht="94.5" customHeight="1" x14ac:dyDescent="0.2">
      <c r="A75" s="70">
        <v>66</v>
      </c>
      <c r="B75" s="11" t="s">
        <v>283</v>
      </c>
      <c r="C75" s="12" t="s">
        <v>30</v>
      </c>
      <c r="D75" s="20" t="s">
        <v>261</v>
      </c>
      <c r="E75" s="22" t="s">
        <v>37</v>
      </c>
      <c r="F75" s="14" t="s">
        <v>38</v>
      </c>
      <c r="G75" s="5" t="s">
        <v>131</v>
      </c>
      <c r="H75" s="5" t="s">
        <v>132</v>
      </c>
      <c r="I75" s="5" t="s">
        <v>253</v>
      </c>
      <c r="J75" s="5" t="s">
        <v>219</v>
      </c>
      <c r="K75" s="5" t="s">
        <v>27</v>
      </c>
      <c r="L75" s="5" t="s">
        <v>242</v>
      </c>
      <c r="M75" s="24">
        <v>1</v>
      </c>
      <c r="N75" s="4">
        <v>3.3250000000000003E-3</v>
      </c>
      <c r="O75" s="97">
        <v>0</v>
      </c>
      <c r="P75" s="28"/>
      <c r="Q75" s="28"/>
      <c r="R75" s="28"/>
      <c r="S75" s="46">
        <f>SUM(O75:R75)</f>
        <v>0</v>
      </c>
      <c r="T75" s="42" t="s">
        <v>247</v>
      </c>
      <c r="U75" s="17">
        <f t="shared" si="5"/>
        <v>0</v>
      </c>
      <c r="V75" s="13">
        <f t="shared" si="4"/>
        <v>0</v>
      </c>
      <c r="W75" s="58" t="s">
        <v>368</v>
      </c>
      <c r="X75" s="58"/>
      <c r="Y75" s="58"/>
      <c r="Z75" s="58"/>
    </row>
    <row r="76" spans="1:26" s="6" customFormat="1" ht="89.25" x14ac:dyDescent="0.2">
      <c r="A76" s="70">
        <v>67</v>
      </c>
      <c r="B76" s="11" t="s">
        <v>283</v>
      </c>
      <c r="C76" s="12" t="s">
        <v>30</v>
      </c>
      <c r="D76" s="20" t="s">
        <v>261</v>
      </c>
      <c r="E76" s="22" t="s">
        <v>37</v>
      </c>
      <c r="F76" s="14" t="s">
        <v>40</v>
      </c>
      <c r="G76" s="5" t="s">
        <v>133</v>
      </c>
      <c r="H76" s="5" t="s">
        <v>134</v>
      </c>
      <c r="I76" s="5" t="s">
        <v>253</v>
      </c>
      <c r="J76" s="5" t="s">
        <v>220</v>
      </c>
      <c r="K76" s="5" t="s">
        <v>27</v>
      </c>
      <c r="L76" s="5" t="s">
        <v>243</v>
      </c>
      <c r="M76" s="26">
        <v>1</v>
      </c>
      <c r="N76" s="4">
        <v>5.9500000000000013E-3</v>
      </c>
      <c r="O76" s="53">
        <v>0</v>
      </c>
      <c r="P76" s="53"/>
      <c r="Q76" s="53"/>
      <c r="R76" s="53"/>
      <c r="S76" s="44">
        <f>+MAX(O76:R76)</f>
        <v>0</v>
      </c>
      <c r="T76" s="42" t="s">
        <v>246</v>
      </c>
      <c r="U76" s="17">
        <f t="shared" si="5"/>
        <v>0</v>
      </c>
      <c r="V76" s="13">
        <f t="shared" si="4"/>
        <v>0</v>
      </c>
      <c r="W76" s="58" t="s">
        <v>380</v>
      </c>
      <c r="X76" s="58"/>
      <c r="Y76" s="58"/>
      <c r="Z76" s="58"/>
    </row>
    <row r="77" spans="1:26" s="6" customFormat="1" ht="93.75" customHeight="1" x14ac:dyDescent="0.2">
      <c r="A77" s="70">
        <v>68</v>
      </c>
      <c r="B77" s="11" t="s">
        <v>283</v>
      </c>
      <c r="C77" s="12" t="s">
        <v>30</v>
      </c>
      <c r="D77" s="20" t="s">
        <v>258</v>
      </c>
      <c r="E77" s="22" t="s">
        <v>36</v>
      </c>
      <c r="F77" s="14" t="s">
        <v>40</v>
      </c>
      <c r="G77" s="5" t="s">
        <v>333</v>
      </c>
      <c r="H77" s="5" t="s">
        <v>334</v>
      </c>
      <c r="I77" s="5" t="s">
        <v>252</v>
      </c>
      <c r="J77" s="5" t="s">
        <v>335</v>
      </c>
      <c r="K77" s="5" t="s">
        <v>27</v>
      </c>
      <c r="L77" s="5" t="s">
        <v>242</v>
      </c>
      <c r="M77" s="26">
        <v>0.85</v>
      </c>
      <c r="N77" s="4">
        <v>4.6666666666666671E-3</v>
      </c>
      <c r="O77" s="61">
        <v>0</v>
      </c>
      <c r="P77" s="61"/>
      <c r="Q77" s="61"/>
      <c r="R77" s="61"/>
      <c r="S77" s="46">
        <f>MAX(O77:R77)</f>
        <v>0</v>
      </c>
      <c r="T77" s="42" t="s">
        <v>247</v>
      </c>
      <c r="U77" s="17">
        <f t="shared" si="5"/>
        <v>0</v>
      </c>
      <c r="V77" s="13">
        <f t="shared" si="4"/>
        <v>0</v>
      </c>
      <c r="W77" s="58" t="s">
        <v>381</v>
      </c>
      <c r="X77" s="58"/>
      <c r="Y77" s="58"/>
      <c r="Z77" s="58"/>
    </row>
    <row r="78" spans="1:26" s="6" customFormat="1" ht="135" x14ac:dyDescent="0.2">
      <c r="A78" s="70">
        <v>69</v>
      </c>
      <c r="B78" s="11" t="s">
        <v>283</v>
      </c>
      <c r="C78" s="12" t="s">
        <v>30</v>
      </c>
      <c r="D78" s="20" t="s">
        <v>261</v>
      </c>
      <c r="E78" s="22" t="s">
        <v>37</v>
      </c>
      <c r="F78" s="14" t="s">
        <v>40</v>
      </c>
      <c r="G78" s="5" t="s">
        <v>153</v>
      </c>
      <c r="H78" s="5" t="s">
        <v>336</v>
      </c>
      <c r="I78" s="5" t="s">
        <v>253</v>
      </c>
      <c r="J78" s="5" t="s">
        <v>337</v>
      </c>
      <c r="K78" s="5" t="s">
        <v>27</v>
      </c>
      <c r="L78" s="5" t="s">
        <v>242</v>
      </c>
      <c r="M78" s="24">
        <v>12</v>
      </c>
      <c r="N78" s="4">
        <v>7.000000000000001E-3</v>
      </c>
      <c r="O78" s="61">
        <v>3</v>
      </c>
      <c r="P78" s="61"/>
      <c r="Q78" s="61"/>
      <c r="R78" s="61"/>
      <c r="S78" s="46">
        <f>SUM(O78:R78)</f>
        <v>3</v>
      </c>
      <c r="T78" s="42" t="s">
        <v>247</v>
      </c>
      <c r="U78" s="17">
        <f t="shared" si="5"/>
        <v>0.25</v>
      </c>
      <c r="V78" s="13">
        <f t="shared" si="4"/>
        <v>1.7500000000000003E-3</v>
      </c>
      <c r="W78" s="99" t="s">
        <v>382</v>
      </c>
      <c r="X78" s="58"/>
      <c r="Y78" s="58"/>
      <c r="Z78" s="58"/>
    </row>
    <row r="79" spans="1:26" s="6" customFormat="1" ht="199.5" customHeight="1" x14ac:dyDescent="0.2">
      <c r="A79" s="70">
        <v>70</v>
      </c>
      <c r="B79" s="11" t="s">
        <v>283</v>
      </c>
      <c r="C79" s="12" t="s">
        <v>30</v>
      </c>
      <c r="D79" s="20" t="s">
        <v>262</v>
      </c>
      <c r="E79" s="22" t="s">
        <v>33</v>
      </c>
      <c r="F79" s="14" t="s">
        <v>40</v>
      </c>
      <c r="G79" s="5" t="s">
        <v>154</v>
      </c>
      <c r="H79" s="5" t="s">
        <v>155</v>
      </c>
      <c r="I79" s="5" t="s">
        <v>254</v>
      </c>
      <c r="J79" s="5" t="s">
        <v>277</v>
      </c>
      <c r="K79" s="5" t="s">
        <v>27</v>
      </c>
      <c r="L79" s="5" t="s">
        <v>242</v>
      </c>
      <c r="M79" s="69">
        <v>300000000</v>
      </c>
      <c r="N79" s="4">
        <v>4.8124999999999999E-3</v>
      </c>
      <c r="O79" s="69">
        <v>18500000</v>
      </c>
      <c r="P79" s="61"/>
      <c r="Q79" s="61"/>
      <c r="R79" s="61"/>
      <c r="S79" s="46">
        <f>SUM(O79:R79)</f>
        <v>18500000</v>
      </c>
      <c r="T79" s="42" t="s">
        <v>247</v>
      </c>
      <c r="U79" s="17">
        <f t="shared" si="5"/>
        <v>6.1666666666666668E-2</v>
      </c>
      <c r="V79" s="13">
        <f t="shared" ref="V79:V111" si="10">+IF(U79&lt;=100%,U79*N79,N79)</f>
        <v>2.9677083333333335E-4</v>
      </c>
      <c r="W79" s="100" t="s">
        <v>383</v>
      </c>
      <c r="X79" s="58"/>
      <c r="Y79" s="58"/>
      <c r="Z79" s="58"/>
    </row>
    <row r="80" spans="1:26" s="6" customFormat="1" ht="135" x14ac:dyDescent="0.2">
      <c r="A80" s="70">
        <v>71</v>
      </c>
      <c r="B80" s="11" t="s">
        <v>283</v>
      </c>
      <c r="C80" s="12" t="s">
        <v>30</v>
      </c>
      <c r="D80" s="20" t="s">
        <v>261</v>
      </c>
      <c r="E80" s="22" t="s">
        <v>37</v>
      </c>
      <c r="F80" s="14" t="s">
        <v>40</v>
      </c>
      <c r="G80" s="5" t="s">
        <v>129</v>
      </c>
      <c r="H80" s="5" t="s">
        <v>130</v>
      </c>
      <c r="I80" s="5" t="s">
        <v>253</v>
      </c>
      <c r="J80" s="5" t="s">
        <v>218</v>
      </c>
      <c r="K80" s="5" t="s">
        <v>27</v>
      </c>
      <c r="L80" s="5" t="s">
        <v>242</v>
      </c>
      <c r="M80" s="27">
        <v>0.85</v>
      </c>
      <c r="N80" s="4">
        <v>5.2500000000000012E-3</v>
      </c>
      <c r="O80" s="62">
        <v>0</v>
      </c>
      <c r="P80" s="62"/>
      <c r="Q80" s="62"/>
      <c r="R80" s="62"/>
      <c r="S80" s="44">
        <f>+MAX(O80:R80)</f>
        <v>0</v>
      </c>
      <c r="T80" s="42" t="s">
        <v>245</v>
      </c>
      <c r="U80" s="17">
        <f t="shared" si="5"/>
        <v>0</v>
      </c>
      <c r="V80" s="13">
        <f t="shared" si="10"/>
        <v>0</v>
      </c>
      <c r="W80" s="99" t="s">
        <v>384</v>
      </c>
      <c r="X80" s="58"/>
      <c r="Y80" s="58"/>
      <c r="Z80" s="58"/>
    </row>
    <row r="81" spans="1:26" s="6" customFormat="1" ht="135" x14ac:dyDescent="0.2">
      <c r="A81" s="70">
        <v>72</v>
      </c>
      <c r="B81" s="11" t="s">
        <v>283</v>
      </c>
      <c r="C81" s="12" t="s">
        <v>30</v>
      </c>
      <c r="D81" s="20" t="s">
        <v>261</v>
      </c>
      <c r="E81" s="22" t="s">
        <v>37</v>
      </c>
      <c r="F81" s="14" t="s">
        <v>40</v>
      </c>
      <c r="G81" s="5" t="s">
        <v>131</v>
      </c>
      <c r="H81" s="5" t="s">
        <v>132</v>
      </c>
      <c r="I81" s="5" t="s">
        <v>253</v>
      </c>
      <c r="J81" s="5" t="s">
        <v>219</v>
      </c>
      <c r="K81" s="5" t="s">
        <v>27</v>
      </c>
      <c r="L81" s="5" t="s">
        <v>242</v>
      </c>
      <c r="M81" s="24">
        <v>1</v>
      </c>
      <c r="N81" s="4">
        <v>3.3250000000000003E-3</v>
      </c>
      <c r="O81" s="61">
        <v>0</v>
      </c>
      <c r="P81" s="61"/>
      <c r="Q81" s="61"/>
      <c r="R81" s="61"/>
      <c r="S81" s="46">
        <f>SUM(O81:R81)</f>
        <v>0</v>
      </c>
      <c r="T81" s="42" t="s">
        <v>247</v>
      </c>
      <c r="U81" s="17">
        <f t="shared" si="5"/>
        <v>0</v>
      </c>
      <c r="V81" s="13">
        <f t="shared" si="10"/>
        <v>0</v>
      </c>
      <c r="W81" s="99" t="s">
        <v>385</v>
      </c>
      <c r="X81" s="58"/>
      <c r="Y81" s="58"/>
      <c r="Z81" s="65"/>
    </row>
    <row r="82" spans="1:26" s="6" customFormat="1" ht="180" x14ac:dyDescent="0.2">
      <c r="A82" s="70">
        <v>73</v>
      </c>
      <c r="B82" s="11" t="s">
        <v>283</v>
      </c>
      <c r="C82" s="12" t="s">
        <v>30</v>
      </c>
      <c r="D82" s="20" t="s">
        <v>261</v>
      </c>
      <c r="E82" s="22" t="s">
        <v>37</v>
      </c>
      <c r="F82" s="14" t="s">
        <v>40</v>
      </c>
      <c r="G82" s="5" t="s">
        <v>338</v>
      </c>
      <c r="H82" s="5" t="s">
        <v>339</v>
      </c>
      <c r="I82" s="5" t="s">
        <v>253</v>
      </c>
      <c r="J82" s="5" t="s">
        <v>340</v>
      </c>
      <c r="K82" s="5" t="s">
        <v>27</v>
      </c>
      <c r="L82" s="5" t="s">
        <v>242</v>
      </c>
      <c r="M82" s="24">
        <v>50</v>
      </c>
      <c r="N82" s="4">
        <v>7.000000000000001E-3</v>
      </c>
      <c r="O82" s="61">
        <v>28</v>
      </c>
      <c r="P82" s="61"/>
      <c r="Q82" s="61"/>
      <c r="R82" s="61"/>
      <c r="S82" s="46">
        <f>SUM(O82:R82)</f>
        <v>28</v>
      </c>
      <c r="T82" s="42" t="s">
        <v>247</v>
      </c>
      <c r="U82" s="17">
        <f t="shared" si="5"/>
        <v>0.56000000000000005</v>
      </c>
      <c r="V82" s="13">
        <f t="shared" si="10"/>
        <v>3.9200000000000007E-3</v>
      </c>
      <c r="W82" s="99" t="s">
        <v>386</v>
      </c>
      <c r="X82" s="58"/>
      <c r="Y82" s="58"/>
      <c r="Z82" s="58"/>
    </row>
    <row r="83" spans="1:26" s="6" customFormat="1" ht="168" customHeight="1" x14ac:dyDescent="0.2">
      <c r="A83" s="70">
        <v>74</v>
      </c>
      <c r="B83" s="11" t="s">
        <v>283</v>
      </c>
      <c r="C83" s="12" t="s">
        <v>30</v>
      </c>
      <c r="D83" s="20" t="s">
        <v>259</v>
      </c>
      <c r="E83" s="22" t="s">
        <v>33</v>
      </c>
      <c r="F83" s="14" t="s">
        <v>40</v>
      </c>
      <c r="G83" s="5" t="s">
        <v>156</v>
      </c>
      <c r="H83" s="5" t="s">
        <v>25</v>
      </c>
      <c r="I83" s="5" t="s">
        <v>252</v>
      </c>
      <c r="J83" s="5" t="s">
        <v>227</v>
      </c>
      <c r="K83" s="5" t="s">
        <v>27</v>
      </c>
      <c r="L83" s="5" t="s">
        <v>242</v>
      </c>
      <c r="M83" s="24">
        <v>1</v>
      </c>
      <c r="N83" s="4">
        <v>4.6666666666666671E-3</v>
      </c>
      <c r="O83" s="61">
        <v>0</v>
      </c>
      <c r="P83" s="61"/>
      <c r="Q83" s="61"/>
      <c r="R83" s="61"/>
      <c r="S83" s="46">
        <f>SUM(O83:R83)</f>
        <v>0</v>
      </c>
      <c r="T83" s="42" t="s">
        <v>247</v>
      </c>
      <c r="U83" s="17">
        <f t="shared" si="5"/>
        <v>0</v>
      </c>
      <c r="V83" s="13">
        <f t="shared" si="10"/>
        <v>0</v>
      </c>
      <c r="W83" s="99" t="s">
        <v>387</v>
      </c>
      <c r="X83" s="58"/>
      <c r="Y83" s="58"/>
      <c r="Z83" s="58"/>
    </row>
    <row r="84" spans="1:26" s="6" customFormat="1" ht="168" customHeight="1" x14ac:dyDescent="0.2">
      <c r="A84" s="70">
        <v>75</v>
      </c>
      <c r="B84" s="11" t="s">
        <v>283</v>
      </c>
      <c r="C84" s="12" t="s">
        <v>30</v>
      </c>
      <c r="D84" s="20" t="s">
        <v>261</v>
      </c>
      <c r="E84" s="22" t="s">
        <v>37</v>
      </c>
      <c r="F84" s="14" t="s">
        <v>41</v>
      </c>
      <c r="G84" s="5" t="s">
        <v>133</v>
      </c>
      <c r="H84" s="5" t="s">
        <v>134</v>
      </c>
      <c r="I84" s="5" t="s">
        <v>253</v>
      </c>
      <c r="J84" s="5" t="s">
        <v>220</v>
      </c>
      <c r="K84" s="5" t="s">
        <v>27</v>
      </c>
      <c r="L84" s="5" t="s">
        <v>243</v>
      </c>
      <c r="M84" s="26">
        <v>1</v>
      </c>
      <c r="N84" s="4">
        <v>5.9500000000000013E-3</v>
      </c>
      <c r="O84" s="53">
        <v>0.25</v>
      </c>
      <c r="P84" s="64"/>
      <c r="Q84" s="64"/>
      <c r="R84" s="34"/>
      <c r="S84" s="44">
        <f>SUM(O84:R84)</f>
        <v>0.25</v>
      </c>
      <c r="T84" s="42" t="s">
        <v>247</v>
      </c>
      <c r="U84" s="17">
        <f t="shared" si="5"/>
        <v>0.25</v>
      </c>
      <c r="V84" s="13">
        <f t="shared" si="10"/>
        <v>1.4875000000000003E-3</v>
      </c>
      <c r="W84" s="58" t="s">
        <v>396</v>
      </c>
      <c r="X84" s="58"/>
      <c r="Y84" s="58"/>
      <c r="Z84" s="58"/>
    </row>
    <row r="85" spans="1:26" s="6" customFormat="1" ht="94.5" customHeight="1" x14ac:dyDescent="0.2">
      <c r="A85" s="70">
        <v>76</v>
      </c>
      <c r="B85" s="11" t="s">
        <v>283</v>
      </c>
      <c r="C85" s="12" t="s">
        <v>30</v>
      </c>
      <c r="D85" s="20" t="s">
        <v>261</v>
      </c>
      <c r="E85" s="22" t="s">
        <v>37</v>
      </c>
      <c r="F85" s="14" t="s">
        <v>41</v>
      </c>
      <c r="G85" s="5" t="s">
        <v>157</v>
      </c>
      <c r="H85" s="5" t="s">
        <v>158</v>
      </c>
      <c r="I85" s="5" t="s">
        <v>252</v>
      </c>
      <c r="J85" s="5" t="s">
        <v>228</v>
      </c>
      <c r="K85" s="5" t="s">
        <v>27</v>
      </c>
      <c r="L85" s="5" t="s">
        <v>243</v>
      </c>
      <c r="M85" s="26">
        <v>0.75</v>
      </c>
      <c r="N85" s="4">
        <v>8.1666666666666676E-3</v>
      </c>
      <c r="O85" s="88">
        <v>0</v>
      </c>
      <c r="P85" s="57"/>
      <c r="Q85" s="57"/>
      <c r="R85" s="28"/>
      <c r="S85" s="47">
        <f>+MAX(O85:R85)</f>
        <v>0</v>
      </c>
      <c r="T85" s="42" t="s">
        <v>246</v>
      </c>
      <c r="U85" s="17">
        <f t="shared" ref="U85:U115" si="11">+S85/M85</f>
        <v>0</v>
      </c>
      <c r="V85" s="13">
        <f t="shared" si="10"/>
        <v>0</v>
      </c>
      <c r="W85" s="58" t="s">
        <v>392</v>
      </c>
      <c r="X85" s="58"/>
      <c r="Y85" s="58"/>
      <c r="Z85" s="58"/>
    </row>
    <row r="86" spans="1:26" s="6" customFormat="1" ht="94.5" customHeight="1" x14ac:dyDescent="0.2">
      <c r="A86" s="70">
        <v>77</v>
      </c>
      <c r="B86" s="11" t="s">
        <v>283</v>
      </c>
      <c r="C86" s="12" t="s">
        <v>30</v>
      </c>
      <c r="D86" s="20" t="s">
        <v>261</v>
      </c>
      <c r="E86" s="22" t="s">
        <v>37</v>
      </c>
      <c r="F86" s="14" t="s">
        <v>41</v>
      </c>
      <c r="G86" s="5" t="s">
        <v>129</v>
      </c>
      <c r="H86" s="5" t="s">
        <v>130</v>
      </c>
      <c r="I86" s="5" t="s">
        <v>253</v>
      </c>
      <c r="J86" s="5" t="s">
        <v>218</v>
      </c>
      <c r="K86" s="5" t="s">
        <v>27</v>
      </c>
      <c r="L86" s="5" t="s">
        <v>242</v>
      </c>
      <c r="M86" s="27">
        <v>0.85</v>
      </c>
      <c r="N86" s="4">
        <v>5.2500000000000012E-3</v>
      </c>
      <c r="O86" s="50">
        <v>0</v>
      </c>
      <c r="P86" s="29"/>
      <c r="Q86" s="29"/>
      <c r="R86" s="29"/>
      <c r="S86" s="44">
        <f>+MAX(O86:R86)</f>
        <v>0</v>
      </c>
      <c r="T86" s="42" t="s">
        <v>245</v>
      </c>
      <c r="U86" s="17">
        <f t="shared" si="11"/>
        <v>0</v>
      </c>
      <c r="V86" s="13">
        <f t="shared" si="10"/>
        <v>0</v>
      </c>
      <c r="W86" s="58" t="s">
        <v>393</v>
      </c>
      <c r="X86" s="58"/>
      <c r="Y86" s="58"/>
      <c r="Z86" s="58"/>
    </row>
    <row r="87" spans="1:26" s="6" customFormat="1" ht="94.5" customHeight="1" x14ac:dyDescent="0.2">
      <c r="A87" s="70">
        <v>78</v>
      </c>
      <c r="B87" s="11" t="s">
        <v>283</v>
      </c>
      <c r="C87" s="12" t="s">
        <v>30</v>
      </c>
      <c r="D87" s="20" t="s">
        <v>260</v>
      </c>
      <c r="E87" s="22" t="s">
        <v>34</v>
      </c>
      <c r="F87" s="14" t="s">
        <v>41</v>
      </c>
      <c r="G87" s="5" t="s">
        <v>159</v>
      </c>
      <c r="H87" s="5" t="s">
        <v>160</v>
      </c>
      <c r="I87" s="5" t="s">
        <v>253</v>
      </c>
      <c r="J87" s="5" t="s">
        <v>229</v>
      </c>
      <c r="K87" s="5" t="s">
        <v>27</v>
      </c>
      <c r="L87" s="5" t="s">
        <v>243</v>
      </c>
      <c r="M87" s="26">
        <v>1</v>
      </c>
      <c r="N87" s="4">
        <v>5.2500000000000012E-3</v>
      </c>
      <c r="O87" s="53">
        <v>0.87</v>
      </c>
      <c r="P87" s="34"/>
      <c r="Q87" s="34"/>
      <c r="R87" s="34"/>
      <c r="S87" s="44">
        <f>+R87</f>
        <v>0</v>
      </c>
      <c r="T87" s="42" t="s">
        <v>248</v>
      </c>
      <c r="U87" s="17">
        <f t="shared" si="11"/>
        <v>0</v>
      </c>
      <c r="V87" s="13">
        <f t="shared" si="10"/>
        <v>0</v>
      </c>
      <c r="W87" s="58" t="s">
        <v>394</v>
      </c>
      <c r="X87" s="58"/>
      <c r="Y87" s="58"/>
      <c r="Z87" s="58"/>
    </row>
    <row r="88" spans="1:26" s="6" customFormat="1" ht="94.5" customHeight="1" x14ac:dyDescent="0.2">
      <c r="A88" s="70">
        <v>79</v>
      </c>
      <c r="B88" s="11" t="s">
        <v>283</v>
      </c>
      <c r="C88" s="12" t="s">
        <v>30</v>
      </c>
      <c r="D88" s="20" t="s">
        <v>261</v>
      </c>
      <c r="E88" s="22" t="s">
        <v>37</v>
      </c>
      <c r="F88" s="14" t="s">
        <v>41</v>
      </c>
      <c r="G88" s="5" t="s">
        <v>131</v>
      </c>
      <c r="H88" s="5" t="s">
        <v>132</v>
      </c>
      <c r="I88" s="5" t="s">
        <v>253</v>
      </c>
      <c r="J88" s="5" t="s">
        <v>219</v>
      </c>
      <c r="K88" s="5" t="s">
        <v>27</v>
      </c>
      <c r="L88" s="5" t="s">
        <v>242</v>
      </c>
      <c r="M88" s="24">
        <v>1</v>
      </c>
      <c r="N88" s="4">
        <v>3.3250000000000003E-3</v>
      </c>
      <c r="O88" s="51">
        <v>1</v>
      </c>
      <c r="P88" s="28"/>
      <c r="Q88" s="28"/>
      <c r="R88" s="28"/>
      <c r="S88" s="46">
        <f>SUM(O88:R88)</f>
        <v>1</v>
      </c>
      <c r="T88" s="42" t="s">
        <v>247</v>
      </c>
      <c r="U88" s="17">
        <f t="shared" si="11"/>
        <v>1</v>
      </c>
      <c r="V88" s="13">
        <f t="shared" si="10"/>
        <v>3.3250000000000003E-3</v>
      </c>
      <c r="W88" s="58" t="s">
        <v>395</v>
      </c>
      <c r="X88" s="58"/>
      <c r="Y88" s="58"/>
      <c r="Z88" s="58"/>
    </row>
    <row r="89" spans="1:26" s="6" customFormat="1" ht="94.5" customHeight="1" x14ac:dyDescent="0.2">
      <c r="A89" s="70">
        <v>80</v>
      </c>
      <c r="B89" s="11" t="s">
        <v>283</v>
      </c>
      <c r="C89" s="12" t="s">
        <v>30</v>
      </c>
      <c r="D89" s="20" t="s">
        <v>261</v>
      </c>
      <c r="E89" s="22" t="s">
        <v>37</v>
      </c>
      <c r="F89" s="14" t="s">
        <v>43</v>
      </c>
      <c r="G89" s="5" t="s">
        <v>133</v>
      </c>
      <c r="H89" s="5" t="s">
        <v>134</v>
      </c>
      <c r="I89" s="5" t="s">
        <v>253</v>
      </c>
      <c r="J89" s="5" t="s">
        <v>220</v>
      </c>
      <c r="K89" s="5" t="s">
        <v>27</v>
      </c>
      <c r="L89" s="5" t="s">
        <v>243</v>
      </c>
      <c r="M89" s="26">
        <v>0.9</v>
      </c>
      <c r="N89" s="4">
        <v>6.0287499999999994E-3</v>
      </c>
      <c r="O89" s="34">
        <f>+(0.166666666666667)*100%</f>
        <v>0.16666666666666666</v>
      </c>
      <c r="P89" s="34"/>
      <c r="Q89" s="34"/>
      <c r="R89" s="34"/>
      <c r="S89" s="44">
        <f>+MAX(O89:R89)</f>
        <v>0.16666666666666666</v>
      </c>
      <c r="T89" s="42" t="s">
        <v>246</v>
      </c>
      <c r="U89" s="17">
        <f t="shared" si="11"/>
        <v>0.18518518518518517</v>
      </c>
      <c r="V89" s="13">
        <f t="shared" si="10"/>
        <v>1.1164351851851849E-3</v>
      </c>
      <c r="W89" s="58" t="s">
        <v>401</v>
      </c>
      <c r="X89" s="58"/>
      <c r="Y89" s="58"/>
      <c r="Z89" s="58"/>
    </row>
    <row r="90" spans="1:26" s="6" customFormat="1" ht="94.5" customHeight="1" x14ac:dyDescent="0.2">
      <c r="A90" s="70">
        <v>81</v>
      </c>
      <c r="B90" s="11" t="s">
        <v>283</v>
      </c>
      <c r="C90" s="12" t="s">
        <v>30</v>
      </c>
      <c r="D90" s="20" t="s">
        <v>258</v>
      </c>
      <c r="E90" s="22" t="s">
        <v>36</v>
      </c>
      <c r="F90" s="14" t="s">
        <v>43</v>
      </c>
      <c r="G90" s="5" t="s">
        <v>161</v>
      </c>
      <c r="H90" s="5" t="s">
        <v>460</v>
      </c>
      <c r="I90" s="5" t="s">
        <v>252</v>
      </c>
      <c r="J90" s="5" t="s">
        <v>461</v>
      </c>
      <c r="K90" s="5" t="s">
        <v>27</v>
      </c>
      <c r="L90" s="5" t="s">
        <v>242</v>
      </c>
      <c r="M90" s="26">
        <v>0.9</v>
      </c>
      <c r="N90" s="4">
        <v>4.6666666666666671E-3</v>
      </c>
      <c r="O90" s="64">
        <v>0.12</v>
      </c>
      <c r="P90" s="34"/>
      <c r="Q90" s="34"/>
      <c r="R90" s="34"/>
      <c r="S90" s="44">
        <f>SUM(O90:R90)</f>
        <v>0.12</v>
      </c>
      <c r="T90" s="42" t="s">
        <v>247</v>
      </c>
      <c r="U90" s="17">
        <f t="shared" si="11"/>
        <v>0.13333333333333333</v>
      </c>
      <c r="V90" s="13">
        <f t="shared" si="10"/>
        <v>6.2222222222222225E-4</v>
      </c>
      <c r="W90" s="58" t="s">
        <v>402</v>
      </c>
      <c r="X90" s="58"/>
      <c r="Y90" s="58"/>
      <c r="Z90" s="58"/>
    </row>
    <row r="91" spans="1:26" s="6" customFormat="1" ht="94.5" customHeight="1" x14ac:dyDescent="0.2">
      <c r="A91" s="70">
        <v>82</v>
      </c>
      <c r="B91" s="11" t="s">
        <v>283</v>
      </c>
      <c r="C91" s="12" t="s">
        <v>30</v>
      </c>
      <c r="D91" s="20" t="s">
        <v>258</v>
      </c>
      <c r="E91" s="22" t="s">
        <v>36</v>
      </c>
      <c r="F91" s="14" t="s">
        <v>43</v>
      </c>
      <c r="G91" s="5" t="s">
        <v>162</v>
      </c>
      <c r="H91" s="5" t="s">
        <v>163</v>
      </c>
      <c r="I91" s="5" t="s">
        <v>253</v>
      </c>
      <c r="J91" s="5" t="s">
        <v>462</v>
      </c>
      <c r="K91" s="5" t="s">
        <v>27</v>
      </c>
      <c r="L91" s="5" t="s">
        <v>243</v>
      </c>
      <c r="M91" s="26">
        <v>0.9</v>
      </c>
      <c r="N91" s="4">
        <v>8.0000000000000002E-3</v>
      </c>
      <c r="O91" s="34">
        <v>0.15</v>
      </c>
      <c r="P91" s="34"/>
      <c r="Q91" s="34"/>
      <c r="R91" s="34"/>
      <c r="S91" s="44">
        <f>+MAX(O91:R91)</f>
        <v>0.15</v>
      </c>
      <c r="T91" s="42" t="s">
        <v>246</v>
      </c>
      <c r="U91" s="17">
        <f t="shared" si="11"/>
        <v>0.16666666666666666</v>
      </c>
      <c r="V91" s="13">
        <f t="shared" si="10"/>
        <v>1.3333333333333333E-3</v>
      </c>
      <c r="W91" s="58" t="s">
        <v>403</v>
      </c>
      <c r="X91" s="58"/>
      <c r="Y91" s="58"/>
      <c r="Z91" s="58"/>
    </row>
    <row r="92" spans="1:26" s="6" customFormat="1" ht="245.25" customHeight="1" x14ac:dyDescent="0.2">
      <c r="A92" s="70">
        <v>83</v>
      </c>
      <c r="B92" s="11" t="s">
        <v>283</v>
      </c>
      <c r="C92" s="12" t="s">
        <v>30</v>
      </c>
      <c r="D92" s="20" t="s">
        <v>261</v>
      </c>
      <c r="E92" s="22" t="s">
        <v>37</v>
      </c>
      <c r="F92" s="14" t="s">
        <v>43</v>
      </c>
      <c r="G92" s="5" t="s">
        <v>164</v>
      </c>
      <c r="H92" s="5" t="s">
        <v>165</v>
      </c>
      <c r="I92" s="5" t="s">
        <v>253</v>
      </c>
      <c r="J92" s="5" t="s">
        <v>230</v>
      </c>
      <c r="K92" s="5" t="s">
        <v>27</v>
      </c>
      <c r="L92" s="5" t="s">
        <v>243</v>
      </c>
      <c r="M92" s="26">
        <v>0.85</v>
      </c>
      <c r="N92" s="4">
        <v>5.0000000000000001E-3</v>
      </c>
      <c r="O92" s="34">
        <v>1</v>
      </c>
      <c r="P92" s="34"/>
      <c r="Q92" s="34"/>
      <c r="R92" s="34"/>
      <c r="S92" s="44">
        <f>+MAX(O92:R92)</f>
        <v>1</v>
      </c>
      <c r="T92" s="42" t="s">
        <v>246</v>
      </c>
      <c r="U92" s="17">
        <f t="shared" si="11"/>
        <v>1.1764705882352942</v>
      </c>
      <c r="V92" s="13">
        <f t="shared" si="10"/>
        <v>5.0000000000000001E-3</v>
      </c>
      <c r="W92" s="58" t="s">
        <v>404</v>
      </c>
      <c r="X92" s="58"/>
      <c r="Y92" s="58"/>
      <c r="Z92" s="58"/>
    </row>
    <row r="93" spans="1:26" s="6" customFormat="1" ht="167.25" customHeight="1" x14ac:dyDescent="0.2">
      <c r="A93" s="70">
        <v>84</v>
      </c>
      <c r="B93" s="11" t="s">
        <v>283</v>
      </c>
      <c r="C93" s="12" t="s">
        <v>30</v>
      </c>
      <c r="D93" s="20" t="s">
        <v>258</v>
      </c>
      <c r="E93" s="22" t="s">
        <v>36</v>
      </c>
      <c r="F93" s="14" t="s">
        <v>43</v>
      </c>
      <c r="G93" s="5" t="s">
        <v>166</v>
      </c>
      <c r="H93" s="5" t="s">
        <v>167</v>
      </c>
      <c r="I93" s="5" t="s">
        <v>253</v>
      </c>
      <c r="J93" s="5" t="s">
        <v>231</v>
      </c>
      <c r="K93" s="5" t="s">
        <v>27</v>
      </c>
      <c r="L93" s="5" t="s">
        <v>243</v>
      </c>
      <c r="M93" s="26">
        <v>0.9</v>
      </c>
      <c r="N93" s="4">
        <v>7.000000000000001E-3</v>
      </c>
      <c r="O93" s="34">
        <v>0.26</v>
      </c>
      <c r="P93" s="34"/>
      <c r="Q93" s="34"/>
      <c r="R93" s="34"/>
      <c r="S93" s="44">
        <f>+MAX(O93:R93)</f>
        <v>0.26</v>
      </c>
      <c r="T93" s="42" t="s">
        <v>246</v>
      </c>
      <c r="U93" s="17">
        <f t="shared" si="11"/>
        <v>0.28888888888888892</v>
      </c>
      <c r="V93" s="13">
        <f t="shared" si="10"/>
        <v>2.0222222222222226E-3</v>
      </c>
      <c r="W93" s="58" t="s">
        <v>405</v>
      </c>
      <c r="X93" s="58"/>
      <c r="Y93" s="58"/>
      <c r="Z93" s="58"/>
    </row>
    <row r="94" spans="1:26" s="6" customFormat="1" ht="94.5" customHeight="1" x14ac:dyDescent="0.2">
      <c r="A94" s="70">
        <v>85</v>
      </c>
      <c r="B94" s="11" t="s">
        <v>283</v>
      </c>
      <c r="C94" s="12" t="s">
        <v>30</v>
      </c>
      <c r="D94" s="20" t="s">
        <v>258</v>
      </c>
      <c r="E94" s="22" t="s">
        <v>36</v>
      </c>
      <c r="F94" s="14" t="s">
        <v>43</v>
      </c>
      <c r="G94" s="5" t="s">
        <v>168</v>
      </c>
      <c r="H94" s="5" t="s">
        <v>169</v>
      </c>
      <c r="I94" s="5" t="s">
        <v>253</v>
      </c>
      <c r="J94" s="5" t="s">
        <v>232</v>
      </c>
      <c r="K94" s="5" t="s">
        <v>27</v>
      </c>
      <c r="L94" s="5" t="s">
        <v>242</v>
      </c>
      <c r="M94" s="24">
        <v>1</v>
      </c>
      <c r="N94" s="4">
        <v>4.4999999999999997E-3</v>
      </c>
      <c r="O94" s="29">
        <v>0</v>
      </c>
      <c r="P94" s="28"/>
      <c r="Q94" s="28"/>
      <c r="R94" s="28"/>
      <c r="S94" s="46">
        <f>SUM(O94:R94)</f>
        <v>0</v>
      </c>
      <c r="T94" s="42" t="s">
        <v>247</v>
      </c>
      <c r="U94" s="17">
        <f t="shared" si="11"/>
        <v>0</v>
      </c>
      <c r="V94" s="13">
        <f t="shared" si="10"/>
        <v>0</v>
      </c>
      <c r="W94" s="58" t="s">
        <v>406</v>
      </c>
      <c r="X94" s="58"/>
      <c r="Y94" s="58"/>
      <c r="Z94" s="58"/>
    </row>
    <row r="95" spans="1:26" s="6" customFormat="1" ht="94.5" customHeight="1" x14ac:dyDescent="0.2">
      <c r="A95" s="70">
        <v>86</v>
      </c>
      <c r="B95" s="11" t="s">
        <v>283</v>
      </c>
      <c r="C95" s="12" t="s">
        <v>30</v>
      </c>
      <c r="D95" s="20" t="s">
        <v>258</v>
      </c>
      <c r="E95" s="22" t="s">
        <v>36</v>
      </c>
      <c r="F95" s="14" t="s">
        <v>43</v>
      </c>
      <c r="G95" s="5" t="s">
        <v>168</v>
      </c>
      <c r="H95" s="5" t="s">
        <v>170</v>
      </c>
      <c r="I95" s="5" t="s">
        <v>252</v>
      </c>
      <c r="J95" s="5" t="s">
        <v>233</v>
      </c>
      <c r="K95" s="5" t="s">
        <v>27</v>
      </c>
      <c r="L95" s="5" t="s">
        <v>243</v>
      </c>
      <c r="M95" s="27">
        <v>0.9</v>
      </c>
      <c r="N95" s="4">
        <v>3.7000000000000002E-3</v>
      </c>
      <c r="O95" s="29">
        <v>0.63</v>
      </c>
      <c r="P95" s="29"/>
      <c r="Q95" s="29"/>
      <c r="R95" s="29"/>
      <c r="S95" s="44">
        <f>+MAX(O95:R95)</f>
        <v>0.63</v>
      </c>
      <c r="T95" s="42" t="s">
        <v>246</v>
      </c>
      <c r="U95" s="17">
        <f t="shared" si="11"/>
        <v>0.7</v>
      </c>
      <c r="V95" s="13">
        <f t="shared" si="10"/>
        <v>2.5899999999999999E-3</v>
      </c>
      <c r="W95" s="58" t="s">
        <v>407</v>
      </c>
      <c r="X95" s="58"/>
      <c r="Y95" s="58"/>
      <c r="Z95" s="58"/>
    </row>
    <row r="96" spans="1:26" s="6" customFormat="1" ht="94.5" customHeight="1" x14ac:dyDescent="0.2">
      <c r="A96" s="70">
        <v>87</v>
      </c>
      <c r="B96" s="11" t="s">
        <v>283</v>
      </c>
      <c r="C96" s="12" t="s">
        <v>30</v>
      </c>
      <c r="D96" s="20" t="s">
        <v>258</v>
      </c>
      <c r="E96" s="22" t="s">
        <v>37</v>
      </c>
      <c r="F96" s="14" t="s">
        <v>43</v>
      </c>
      <c r="G96" s="5" t="s">
        <v>129</v>
      </c>
      <c r="H96" s="5" t="s">
        <v>130</v>
      </c>
      <c r="I96" s="5" t="s">
        <v>253</v>
      </c>
      <c r="J96" s="5" t="s">
        <v>218</v>
      </c>
      <c r="K96" s="5" t="s">
        <v>27</v>
      </c>
      <c r="L96" s="5" t="s">
        <v>242</v>
      </c>
      <c r="M96" s="27">
        <v>0.85</v>
      </c>
      <c r="N96" s="4">
        <v>5.7999999999999996E-3</v>
      </c>
      <c r="O96" s="29">
        <v>0</v>
      </c>
      <c r="P96" s="29"/>
      <c r="Q96" s="29"/>
      <c r="R96" s="29"/>
      <c r="S96" s="44">
        <f>+MAX(O96:R96)</f>
        <v>0</v>
      </c>
      <c r="T96" s="42"/>
      <c r="U96" s="17">
        <f t="shared" si="11"/>
        <v>0</v>
      </c>
      <c r="V96" s="13">
        <f t="shared" si="10"/>
        <v>0</v>
      </c>
      <c r="W96" s="58" t="s">
        <v>408</v>
      </c>
      <c r="X96" s="58"/>
      <c r="Y96" s="58"/>
      <c r="Z96" s="58"/>
    </row>
    <row r="97" spans="1:26" s="6" customFormat="1" ht="94.5" customHeight="1" x14ac:dyDescent="0.2">
      <c r="A97" s="70">
        <v>88</v>
      </c>
      <c r="B97" s="11" t="s">
        <v>283</v>
      </c>
      <c r="C97" s="12" t="s">
        <v>30</v>
      </c>
      <c r="D97" s="20" t="s">
        <v>261</v>
      </c>
      <c r="E97" s="22" t="s">
        <v>37</v>
      </c>
      <c r="F97" s="14" t="s">
        <v>43</v>
      </c>
      <c r="G97" s="5" t="s">
        <v>131</v>
      </c>
      <c r="H97" s="5" t="s">
        <v>132</v>
      </c>
      <c r="I97" s="5" t="s">
        <v>253</v>
      </c>
      <c r="J97" s="5" t="s">
        <v>219</v>
      </c>
      <c r="K97" s="5" t="s">
        <v>27</v>
      </c>
      <c r="L97" s="5" t="s">
        <v>242</v>
      </c>
      <c r="M97" s="24">
        <v>1</v>
      </c>
      <c r="N97" s="4">
        <v>3.0000000000000001E-3</v>
      </c>
      <c r="O97" s="29">
        <v>0</v>
      </c>
      <c r="P97" s="28"/>
      <c r="Q97" s="28"/>
      <c r="R97" s="28"/>
      <c r="S97" s="46">
        <f>SUM(O97:R97)</f>
        <v>0</v>
      </c>
      <c r="T97" s="42" t="s">
        <v>247</v>
      </c>
      <c r="U97" s="17">
        <f t="shared" si="11"/>
        <v>0</v>
      </c>
      <c r="V97" s="13">
        <f t="shared" si="10"/>
        <v>0</v>
      </c>
      <c r="W97" s="58" t="s">
        <v>409</v>
      </c>
      <c r="X97" s="58"/>
      <c r="Y97" s="58"/>
      <c r="Z97" s="58"/>
    </row>
    <row r="98" spans="1:26" s="6" customFormat="1" ht="94.5" customHeight="1" x14ac:dyDescent="0.2">
      <c r="A98" s="70">
        <v>89</v>
      </c>
      <c r="B98" s="11" t="s">
        <v>283</v>
      </c>
      <c r="C98" s="12" t="s">
        <v>30</v>
      </c>
      <c r="D98" s="20" t="s">
        <v>258</v>
      </c>
      <c r="E98" s="22" t="s">
        <v>36</v>
      </c>
      <c r="F98" s="14" t="s">
        <v>43</v>
      </c>
      <c r="G98" s="5" t="s">
        <v>171</v>
      </c>
      <c r="H98" s="5" t="s">
        <v>329</v>
      </c>
      <c r="I98" s="5" t="s">
        <v>252</v>
      </c>
      <c r="J98" s="5" t="s">
        <v>330</v>
      </c>
      <c r="K98" s="5" t="s">
        <v>27</v>
      </c>
      <c r="L98" s="5" t="s">
        <v>242</v>
      </c>
      <c r="M98" s="24" t="s">
        <v>345</v>
      </c>
      <c r="N98" s="4">
        <v>5.0000000000000001E-3</v>
      </c>
      <c r="O98" s="28">
        <v>52</v>
      </c>
      <c r="P98" s="28"/>
      <c r="Q98" s="28"/>
      <c r="R98" s="28"/>
      <c r="S98" s="46">
        <f>SUM(O98:R98)</f>
        <v>52</v>
      </c>
      <c r="T98" s="42" t="s">
        <v>247</v>
      </c>
      <c r="U98" s="17" t="e">
        <f t="shared" si="11"/>
        <v>#VALUE!</v>
      </c>
      <c r="V98" s="13" t="e">
        <f t="shared" si="10"/>
        <v>#VALUE!</v>
      </c>
      <c r="W98" s="58" t="s">
        <v>410</v>
      </c>
      <c r="X98" s="58"/>
      <c r="Y98" s="58"/>
      <c r="Z98" s="58"/>
    </row>
    <row r="99" spans="1:26" s="6" customFormat="1" ht="94.5" customHeight="1" x14ac:dyDescent="0.2">
      <c r="A99" s="70">
        <v>90</v>
      </c>
      <c r="B99" s="11" t="s">
        <v>283</v>
      </c>
      <c r="C99" s="12" t="s">
        <v>30</v>
      </c>
      <c r="D99" s="20" t="s">
        <v>261</v>
      </c>
      <c r="E99" s="22" t="s">
        <v>37</v>
      </c>
      <c r="F99" s="14" t="s">
        <v>46</v>
      </c>
      <c r="G99" s="5" t="s">
        <v>172</v>
      </c>
      <c r="H99" s="5" t="s">
        <v>173</v>
      </c>
      <c r="I99" s="5" t="s">
        <v>252</v>
      </c>
      <c r="J99" s="5" t="s">
        <v>234</v>
      </c>
      <c r="K99" s="5" t="s">
        <v>27</v>
      </c>
      <c r="L99" s="5" t="s">
        <v>243</v>
      </c>
      <c r="M99" s="27">
        <v>0.9</v>
      </c>
      <c r="N99" s="4">
        <v>6.1250000000000011E-3</v>
      </c>
      <c r="O99" s="29">
        <v>0.1</v>
      </c>
      <c r="P99" s="29"/>
      <c r="Q99" s="29"/>
      <c r="R99" s="29"/>
      <c r="S99" s="44">
        <f>+MAX(O99:R99)</f>
        <v>0.1</v>
      </c>
      <c r="T99" s="42" t="s">
        <v>246</v>
      </c>
      <c r="U99" s="17">
        <f t="shared" si="11"/>
        <v>0.11111111111111112</v>
      </c>
      <c r="V99" s="13">
        <f t="shared" si="10"/>
        <v>6.8055555555555577E-4</v>
      </c>
      <c r="W99" s="58" t="s">
        <v>458</v>
      </c>
      <c r="X99" s="58"/>
      <c r="Y99" s="58"/>
      <c r="Z99" s="58"/>
    </row>
    <row r="100" spans="1:26" s="6" customFormat="1" ht="94.5" customHeight="1" x14ac:dyDescent="0.2">
      <c r="A100" s="70">
        <v>91</v>
      </c>
      <c r="B100" s="11" t="s">
        <v>283</v>
      </c>
      <c r="C100" s="12" t="s">
        <v>30</v>
      </c>
      <c r="D100" s="20" t="s">
        <v>261</v>
      </c>
      <c r="E100" s="22" t="s">
        <v>37</v>
      </c>
      <c r="F100" s="14" t="s">
        <v>46</v>
      </c>
      <c r="G100" s="5" t="s">
        <v>174</v>
      </c>
      <c r="H100" s="5" t="s">
        <v>175</v>
      </c>
      <c r="I100" s="5" t="s">
        <v>252</v>
      </c>
      <c r="J100" s="5" t="s">
        <v>235</v>
      </c>
      <c r="K100" s="5" t="s">
        <v>27</v>
      </c>
      <c r="L100" s="5" t="s">
        <v>242</v>
      </c>
      <c r="M100" s="24">
        <v>70</v>
      </c>
      <c r="N100" s="4">
        <v>8.1666666666666676E-3</v>
      </c>
      <c r="O100" s="28">
        <v>0</v>
      </c>
      <c r="P100" s="28"/>
      <c r="Q100" s="28"/>
      <c r="R100" s="28"/>
      <c r="S100" s="45">
        <f>+MAX(O100:R100)</f>
        <v>0</v>
      </c>
      <c r="T100" s="42" t="s">
        <v>245</v>
      </c>
      <c r="U100" s="17">
        <f t="shared" si="11"/>
        <v>0</v>
      </c>
      <c r="V100" s="13">
        <f t="shared" si="10"/>
        <v>0</v>
      </c>
      <c r="W100" s="58" t="s">
        <v>442</v>
      </c>
      <c r="X100" s="58"/>
      <c r="Y100" s="58"/>
      <c r="Z100" s="58"/>
    </row>
    <row r="101" spans="1:26" s="6" customFormat="1" ht="94.5" customHeight="1" x14ac:dyDescent="0.2">
      <c r="A101" s="70">
        <v>92</v>
      </c>
      <c r="B101" s="11" t="s">
        <v>283</v>
      </c>
      <c r="C101" s="12" t="s">
        <v>30</v>
      </c>
      <c r="D101" s="20" t="s">
        <v>261</v>
      </c>
      <c r="E101" s="22" t="s">
        <v>37</v>
      </c>
      <c r="F101" s="14" t="s">
        <v>46</v>
      </c>
      <c r="G101" s="5" t="s">
        <v>129</v>
      </c>
      <c r="H101" s="5" t="s">
        <v>130</v>
      </c>
      <c r="I101" s="5" t="s">
        <v>253</v>
      </c>
      <c r="J101" s="5" t="s">
        <v>218</v>
      </c>
      <c r="K101" s="5" t="s">
        <v>27</v>
      </c>
      <c r="L101" s="5" t="s">
        <v>242</v>
      </c>
      <c r="M101" s="27">
        <v>0.9</v>
      </c>
      <c r="N101" s="4">
        <v>5.2500000000000012E-3</v>
      </c>
      <c r="O101" s="29">
        <v>0</v>
      </c>
      <c r="P101" s="29"/>
      <c r="Q101" s="28"/>
      <c r="R101" s="29"/>
      <c r="S101" s="44">
        <f>+MAX(O101:R101)</f>
        <v>0</v>
      </c>
      <c r="T101" s="42" t="s">
        <v>245</v>
      </c>
      <c r="U101" s="17">
        <f t="shared" si="11"/>
        <v>0</v>
      </c>
      <c r="V101" s="13">
        <f t="shared" si="10"/>
        <v>0</v>
      </c>
      <c r="W101" s="58" t="s">
        <v>444</v>
      </c>
      <c r="X101" s="58"/>
      <c r="Y101" s="58"/>
      <c r="Z101" s="58"/>
    </row>
    <row r="102" spans="1:26" s="6" customFormat="1" ht="94.5" customHeight="1" x14ac:dyDescent="0.2">
      <c r="A102" s="70">
        <v>93</v>
      </c>
      <c r="B102" s="11" t="s">
        <v>283</v>
      </c>
      <c r="C102" s="12" t="s">
        <v>30</v>
      </c>
      <c r="D102" s="20" t="s">
        <v>261</v>
      </c>
      <c r="E102" s="22" t="s">
        <v>37</v>
      </c>
      <c r="F102" s="14" t="s">
        <v>46</v>
      </c>
      <c r="G102" s="5" t="s">
        <v>446</v>
      </c>
      <c r="H102" s="5" t="s">
        <v>25</v>
      </c>
      <c r="I102" s="5" t="s">
        <v>252</v>
      </c>
      <c r="J102" s="5" t="s">
        <v>26</v>
      </c>
      <c r="K102" s="5" t="s">
        <v>27</v>
      </c>
      <c r="L102" s="5" t="s">
        <v>242</v>
      </c>
      <c r="M102" s="24">
        <v>1</v>
      </c>
      <c r="N102" s="4">
        <v>5.8333333333333336E-3</v>
      </c>
      <c r="O102" s="28">
        <v>0</v>
      </c>
      <c r="P102" s="29"/>
      <c r="Q102" s="28"/>
      <c r="R102" s="28"/>
      <c r="S102" s="46">
        <f>SUM(O102:R102)</f>
        <v>0</v>
      </c>
      <c r="T102" s="42" t="s">
        <v>247</v>
      </c>
      <c r="U102" s="17">
        <f t="shared" si="11"/>
        <v>0</v>
      </c>
      <c r="V102" s="13">
        <f t="shared" si="10"/>
        <v>0</v>
      </c>
      <c r="W102" s="58" t="s">
        <v>447</v>
      </c>
      <c r="X102" s="58"/>
      <c r="Y102" s="58"/>
      <c r="Z102" s="58"/>
    </row>
    <row r="103" spans="1:26" s="6" customFormat="1" ht="94.5" customHeight="1" x14ac:dyDescent="0.2">
      <c r="A103" s="70">
        <v>94</v>
      </c>
      <c r="B103" s="11" t="s">
        <v>283</v>
      </c>
      <c r="C103" s="12" t="s">
        <v>30</v>
      </c>
      <c r="D103" s="20" t="s">
        <v>261</v>
      </c>
      <c r="E103" s="22" t="s">
        <v>37</v>
      </c>
      <c r="F103" s="14" t="s">
        <v>46</v>
      </c>
      <c r="G103" s="5" t="s">
        <v>24</v>
      </c>
      <c r="H103" s="5" t="s">
        <v>176</v>
      </c>
      <c r="I103" s="5" t="s">
        <v>252</v>
      </c>
      <c r="J103" s="5" t="s">
        <v>26</v>
      </c>
      <c r="K103" s="5" t="s">
        <v>27</v>
      </c>
      <c r="L103" s="5" t="s">
        <v>242</v>
      </c>
      <c r="M103" s="24">
        <v>1</v>
      </c>
      <c r="N103" s="4">
        <v>5.8333333333333336E-3</v>
      </c>
      <c r="O103" s="28">
        <v>0</v>
      </c>
      <c r="P103" s="29"/>
      <c r="Q103" s="28"/>
      <c r="R103" s="28"/>
      <c r="S103" s="46">
        <f>SUM(O103:R103)</f>
        <v>0</v>
      </c>
      <c r="T103" s="42" t="s">
        <v>247</v>
      </c>
      <c r="U103" s="17">
        <f t="shared" si="11"/>
        <v>0</v>
      </c>
      <c r="V103" s="13">
        <f t="shared" si="10"/>
        <v>0</v>
      </c>
      <c r="W103" s="58" t="s">
        <v>445</v>
      </c>
      <c r="X103" s="58"/>
      <c r="Y103" s="58"/>
      <c r="Z103" s="58"/>
    </row>
    <row r="104" spans="1:26" s="6" customFormat="1" ht="94.5" customHeight="1" x14ac:dyDescent="0.2">
      <c r="A104" s="70">
        <v>95</v>
      </c>
      <c r="B104" s="11" t="s">
        <v>283</v>
      </c>
      <c r="C104" s="12" t="s">
        <v>30</v>
      </c>
      <c r="D104" s="20" t="s">
        <v>261</v>
      </c>
      <c r="E104" s="22" t="s">
        <v>37</v>
      </c>
      <c r="F104" s="14" t="s">
        <v>46</v>
      </c>
      <c r="G104" s="5" t="s">
        <v>131</v>
      </c>
      <c r="H104" s="5" t="s">
        <v>132</v>
      </c>
      <c r="I104" s="5" t="s">
        <v>253</v>
      </c>
      <c r="J104" s="5" t="s">
        <v>219</v>
      </c>
      <c r="K104" s="5" t="s">
        <v>27</v>
      </c>
      <c r="L104" s="5" t="s">
        <v>242</v>
      </c>
      <c r="M104" s="24">
        <v>1</v>
      </c>
      <c r="N104" s="4">
        <v>3.4037500000000005E-3</v>
      </c>
      <c r="O104" s="28">
        <v>0</v>
      </c>
      <c r="P104" s="28"/>
      <c r="Q104" s="28"/>
      <c r="R104" s="28"/>
      <c r="S104" s="46">
        <f>SUM(O104:R104)</f>
        <v>0</v>
      </c>
      <c r="T104" s="42" t="s">
        <v>247</v>
      </c>
      <c r="U104" s="17">
        <f t="shared" si="11"/>
        <v>0</v>
      </c>
      <c r="V104" s="13">
        <f t="shared" si="10"/>
        <v>0</v>
      </c>
      <c r="W104" s="58" t="s">
        <v>443</v>
      </c>
      <c r="X104" s="58"/>
      <c r="Y104" s="58"/>
      <c r="Z104" s="58"/>
    </row>
    <row r="105" spans="1:26" s="6" customFormat="1" ht="94.5" customHeight="1" x14ac:dyDescent="0.2">
      <c r="A105" s="70">
        <v>96</v>
      </c>
      <c r="B105" s="11" t="s">
        <v>283</v>
      </c>
      <c r="C105" s="12" t="s">
        <v>30</v>
      </c>
      <c r="D105" s="20" t="s">
        <v>261</v>
      </c>
      <c r="E105" s="22" t="s">
        <v>37</v>
      </c>
      <c r="F105" s="14" t="s">
        <v>46</v>
      </c>
      <c r="G105" s="5" t="s">
        <v>140</v>
      </c>
      <c r="H105" s="5" t="s">
        <v>141</v>
      </c>
      <c r="I105" s="5" t="s">
        <v>253</v>
      </c>
      <c r="J105" s="5" t="s">
        <v>328</v>
      </c>
      <c r="K105" s="5" t="s">
        <v>27</v>
      </c>
      <c r="L105" s="5" t="s">
        <v>242</v>
      </c>
      <c r="M105" s="26">
        <v>0.95</v>
      </c>
      <c r="N105" s="4">
        <v>4.6666666666666671E-3</v>
      </c>
      <c r="O105" s="57">
        <f>+(0.0740740740740741)*100%</f>
        <v>7.407407407407407E-2</v>
      </c>
      <c r="P105" s="57"/>
      <c r="Q105" s="57"/>
      <c r="R105" s="57"/>
      <c r="S105" s="44">
        <f>+SUM(O105:R105)</f>
        <v>7.407407407407407E-2</v>
      </c>
      <c r="T105" s="42" t="s">
        <v>247</v>
      </c>
      <c r="U105" s="17">
        <f t="shared" si="11"/>
        <v>7.7972709551656916E-2</v>
      </c>
      <c r="V105" s="13">
        <f t="shared" si="10"/>
        <v>3.6387264457439896E-4</v>
      </c>
      <c r="W105" s="58" t="s">
        <v>459</v>
      </c>
      <c r="X105" s="58"/>
      <c r="Y105" s="58"/>
      <c r="Z105" s="58"/>
    </row>
    <row r="106" spans="1:26" s="6" customFormat="1" ht="201" customHeight="1" x14ac:dyDescent="0.2">
      <c r="A106" s="70">
        <v>97</v>
      </c>
      <c r="B106" s="11" t="s">
        <v>283</v>
      </c>
      <c r="C106" s="12" t="s">
        <v>30</v>
      </c>
      <c r="D106" s="20" t="s">
        <v>261</v>
      </c>
      <c r="E106" s="22" t="s">
        <v>37</v>
      </c>
      <c r="F106" s="14" t="s">
        <v>47</v>
      </c>
      <c r="G106" s="5" t="s">
        <v>129</v>
      </c>
      <c r="H106" s="5" t="s">
        <v>130</v>
      </c>
      <c r="I106" s="5" t="s">
        <v>253</v>
      </c>
      <c r="J106" s="5" t="s">
        <v>218</v>
      </c>
      <c r="K106" s="5" t="s">
        <v>27</v>
      </c>
      <c r="L106" s="5" t="s">
        <v>242</v>
      </c>
      <c r="M106" s="27">
        <v>0.85</v>
      </c>
      <c r="N106" s="4">
        <v>5.7999999999999996E-3</v>
      </c>
      <c r="O106" s="107">
        <v>0</v>
      </c>
      <c r="P106" s="29"/>
      <c r="Q106" s="29"/>
      <c r="R106" s="35"/>
      <c r="S106" s="44">
        <f>+MAX(O106:R106)</f>
        <v>0</v>
      </c>
      <c r="T106" s="42" t="s">
        <v>245</v>
      </c>
      <c r="U106" s="17">
        <f t="shared" si="11"/>
        <v>0</v>
      </c>
      <c r="V106" s="13">
        <f t="shared" si="10"/>
        <v>0</v>
      </c>
      <c r="W106" s="58" t="s">
        <v>448</v>
      </c>
      <c r="X106" s="58"/>
      <c r="Y106" s="58"/>
      <c r="Z106" s="58"/>
    </row>
    <row r="107" spans="1:26" s="6" customFormat="1" ht="171" customHeight="1" x14ac:dyDescent="0.2">
      <c r="A107" s="70">
        <v>98</v>
      </c>
      <c r="B107" s="11" t="s">
        <v>283</v>
      </c>
      <c r="C107" s="12" t="s">
        <v>30</v>
      </c>
      <c r="D107" s="20" t="s">
        <v>261</v>
      </c>
      <c r="E107" s="22" t="s">
        <v>37</v>
      </c>
      <c r="F107" s="14" t="s">
        <v>47</v>
      </c>
      <c r="G107" s="5" t="s">
        <v>131</v>
      </c>
      <c r="H107" s="5" t="s">
        <v>132</v>
      </c>
      <c r="I107" s="5" t="s">
        <v>253</v>
      </c>
      <c r="J107" s="5" t="s">
        <v>219</v>
      </c>
      <c r="K107" s="5" t="s">
        <v>27</v>
      </c>
      <c r="L107" s="5" t="s">
        <v>242</v>
      </c>
      <c r="M107" s="24">
        <v>1</v>
      </c>
      <c r="N107" s="4">
        <v>5.7999999999999996E-3</v>
      </c>
      <c r="O107" s="107">
        <v>0</v>
      </c>
      <c r="P107" s="28"/>
      <c r="Q107" s="28"/>
      <c r="R107" s="28"/>
      <c r="S107" s="46">
        <f>SUM(O107:R107)</f>
        <v>0</v>
      </c>
      <c r="T107" s="42" t="s">
        <v>247</v>
      </c>
      <c r="U107" s="17">
        <f t="shared" si="11"/>
        <v>0</v>
      </c>
      <c r="V107" s="13">
        <f t="shared" si="10"/>
        <v>0</v>
      </c>
      <c r="W107" s="58" t="s">
        <v>449</v>
      </c>
      <c r="X107" s="58"/>
      <c r="Y107" s="58"/>
      <c r="Z107" s="58"/>
    </row>
    <row r="108" spans="1:26" s="6" customFormat="1" ht="102" x14ac:dyDescent="0.2">
      <c r="A108" s="70">
        <v>99</v>
      </c>
      <c r="B108" s="11" t="s">
        <v>283</v>
      </c>
      <c r="C108" s="12" t="s">
        <v>30</v>
      </c>
      <c r="D108" s="20" t="s">
        <v>261</v>
      </c>
      <c r="E108" s="22" t="s">
        <v>37</v>
      </c>
      <c r="F108" s="14" t="s">
        <v>47</v>
      </c>
      <c r="G108" s="5" t="s">
        <v>346</v>
      </c>
      <c r="H108" s="5" t="s">
        <v>347</v>
      </c>
      <c r="I108" s="5" t="s">
        <v>252</v>
      </c>
      <c r="J108" s="5" t="s">
        <v>348</v>
      </c>
      <c r="K108" s="5" t="s">
        <v>27</v>
      </c>
      <c r="L108" s="5" t="s">
        <v>242</v>
      </c>
      <c r="M108" s="26">
        <v>0.9</v>
      </c>
      <c r="N108" s="4">
        <v>5.8333333333333336E-3</v>
      </c>
      <c r="O108" s="29">
        <f>+(0.979002624671916)*100%</f>
        <v>0.97900262467191601</v>
      </c>
      <c r="P108" s="28"/>
      <c r="Q108" s="28"/>
      <c r="R108" s="28"/>
      <c r="S108" s="44">
        <f t="shared" ref="S108:S114" si="12">+MAX(O108:R108)</f>
        <v>0.97900262467191601</v>
      </c>
      <c r="T108" s="42" t="s">
        <v>247</v>
      </c>
      <c r="U108" s="17">
        <f t="shared" si="11"/>
        <v>1.0877806940799066</v>
      </c>
      <c r="V108" s="13">
        <f t="shared" si="10"/>
        <v>5.8333333333333336E-3</v>
      </c>
      <c r="W108" s="58" t="s">
        <v>450</v>
      </c>
      <c r="X108" s="58"/>
      <c r="Y108" s="58"/>
      <c r="Z108" s="58"/>
    </row>
    <row r="109" spans="1:26" s="66" customFormat="1" ht="94.5" customHeight="1" x14ac:dyDescent="0.2">
      <c r="A109" s="70">
        <v>100</v>
      </c>
      <c r="B109" s="11" t="s">
        <v>283</v>
      </c>
      <c r="C109" s="12" t="s">
        <v>30</v>
      </c>
      <c r="D109" s="20" t="s">
        <v>261</v>
      </c>
      <c r="E109" s="22" t="s">
        <v>37</v>
      </c>
      <c r="F109" s="14" t="s">
        <v>48</v>
      </c>
      <c r="G109" s="5" t="s">
        <v>133</v>
      </c>
      <c r="H109" s="5" t="s">
        <v>134</v>
      </c>
      <c r="I109" s="5" t="s">
        <v>253</v>
      </c>
      <c r="J109" s="5" t="s">
        <v>220</v>
      </c>
      <c r="K109" s="5" t="s">
        <v>27</v>
      </c>
      <c r="L109" s="5" t="s">
        <v>243</v>
      </c>
      <c r="M109" s="26">
        <v>1</v>
      </c>
      <c r="N109" s="4">
        <v>6.0287499999999994E-3</v>
      </c>
      <c r="O109" s="34">
        <v>0</v>
      </c>
      <c r="P109" s="34"/>
      <c r="Q109" s="34"/>
      <c r="R109" s="34"/>
      <c r="S109" s="44">
        <f t="shared" si="12"/>
        <v>0</v>
      </c>
      <c r="T109" s="42" t="s">
        <v>246</v>
      </c>
      <c r="U109" s="17">
        <f t="shared" si="11"/>
        <v>0</v>
      </c>
      <c r="V109" s="13">
        <f t="shared" si="10"/>
        <v>0</v>
      </c>
      <c r="W109" s="108" t="s">
        <v>451</v>
      </c>
      <c r="X109" s="58"/>
      <c r="Y109" s="58"/>
      <c r="Z109" s="58"/>
    </row>
    <row r="110" spans="1:26" s="66" customFormat="1" ht="94.5" customHeight="1" x14ac:dyDescent="0.2">
      <c r="A110" s="70">
        <v>101</v>
      </c>
      <c r="B110" s="11" t="s">
        <v>283</v>
      </c>
      <c r="C110" s="12" t="s">
        <v>30</v>
      </c>
      <c r="D110" s="20" t="s">
        <v>261</v>
      </c>
      <c r="E110" s="22" t="s">
        <v>37</v>
      </c>
      <c r="F110" s="14" t="s">
        <v>48</v>
      </c>
      <c r="G110" s="5" t="s">
        <v>177</v>
      </c>
      <c r="H110" s="5" t="s">
        <v>178</v>
      </c>
      <c r="I110" s="5" t="s">
        <v>254</v>
      </c>
      <c r="J110" s="5" t="s">
        <v>236</v>
      </c>
      <c r="K110" s="5" t="s">
        <v>27</v>
      </c>
      <c r="L110" s="5" t="s">
        <v>243</v>
      </c>
      <c r="M110" s="26">
        <v>1</v>
      </c>
      <c r="N110" s="4">
        <v>4.6899999999999997E-3</v>
      </c>
      <c r="O110" s="34">
        <v>1</v>
      </c>
      <c r="P110" s="34"/>
      <c r="Q110" s="34"/>
      <c r="R110" s="34"/>
      <c r="S110" s="44">
        <f t="shared" si="12"/>
        <v>1</v>
      </c>
      <c r="T110" s="42" t="s">
        <v>246</v>
      </c>
      <c r="U110" s="17">
        <f t="shared" si="11"/>
        <v>1</v>
      </c>
      <c r="V110" s="13">
        <f t="shared" si="10"/>
        <v>4.6899999999999997E-3</v>
      </c>
      <c r="W110" s="108" t="s">
        <v>452</v>
      </c>
      <c r="X110" s="58"/>
      <c r="Y110" s="58"/>
      <c r="Z110" s="58"/>
    </row>
    <row r="111" spans="1:26" s="6" customFormat="1" ht="94.5" customHeight="1" x14ac:dyDescent="0.2">
      <c r="A111" s="70">
        <v>102</v>
      </c>
      <c r="B111" s="11" t="s">
        <v>283</v>
      </c>
      <c r="C111" s="12" t="s">
        <v>30</v>
      </c>
      <c r="D111" s="20" t="s">
        <v>261</v>
      </c>
      <c r="E111" s="22" t="s">
        <v>37</v>
      </c>
      <c r="F111" s="14" t="s">
        <v>48</v>
      </c>
      <c r="G111" s="5" t="s">
        <v>129</v>
      </c>
      <c r="H111" s="5" t="s">
        <v>130</v>
      </c>
      <c r="I111" s="5" t="s">
        <v>253</v>
      </c>
      <c r="J111" s="5" t="s">
        <v>218</v>
      </c>
      <c r="K111" s="5" t="s">
        <v>27</v>
      </c>
      <c r="L111" s="5" t="s">
        <v>242</v>
      </c>
      <c r="M111" s="27">
        <v>0.85</v>
      </c>
      <c r="N111" s="4">
        <v>5.2199999999999998E-3</v>
      </c>
      <c r="O111" s="29">
        <v>0</v>
      </c>
      <c r="P111" s="29"/>
      <c r="Q111" s="29"/>
      <c r="R111" s="29"/>
      <c r="S111" s="44">
        <f t="shared" si="12"/>
        <v>0</v>
      </c>
      <c r="T111" s="42" t="s">
        <v>245</v>
      </c>
      <c r="U111" s="17">
        <f t="shared" si="11"/>
        <v>0</v>
      </c>
      <c r="V111" s="13">
        <f t="shared" si="10"/>
        <v>0</v>
      </c>
      <c r="W111" s="108" t="s">
        <v>453</v>
      </c>
      <c r="X111" s="58"/>
      <c r="Y111" s="58"/>
      <c r="Z111" s="58"/>
    </row>
    <row r="112" spans="1:26" s="6" customFormat="1" ht="94.5" customHeight="1" x14ac:dyDescent="0.2">
      <c r="A112" s="70">
        <v>103</v>
      </c>
      <c r="B112" s="11" t="s">
        <v>283</v>
      </c>
      <c r="C112" s="12" t="s">
        <v>30</v>
      </c>
      <c r="D112" s="20" t="s">
        <v>261</v>
      </c>
      <c r="E112" s="22" t="s">
        <v>37</v>
      </c>
      <c r="F112" s="14" t="s">
        <v>48</v>
      </c>
      <c r="G112" s="5" t="s">
        <v>351</v>
      </c>
      <c r="H112" s="5" t="s">
        <v>349</v>
      </c>
      <c r="I112" s="5" t="s">
        <v>253</v>
      </c>
      <c r="J112" s="5" t="s">
        <v>350</v>
      </c>
      <c r="K112" s="5" t="s">
        <v>27</v>
      </c>
      <c r="L112" s="5" t="s">
        <v>242</v>
      </c>
      <c r="M112" s="27">
        <v>1</v>
      </c>
      <c r="N112" s="4">
        <v>8.3000000000000001E-3</v>
      </c>
      <c r="O112" s="34">
        <f>+(1)*100%</f>
        <v>1</v>
      </c>
      <c r="P112" s="28"/>
      <c r="Q112" s="28"/>
      <c r="R112" s="28"/>
      <c r="S112" s="46">
        <f t="shared" si="12"/>
        <v>1</v>
      </c>
      <c r="T112" s="42" t="s">
        <v>245</v>
      </c>
      <c r="U112" s="17">
        <f t="shared" si="11"/>
        <v>1</v>
      </c>
      <c r="V112" s="13">
        <f t="shared" ref="V112:V115" si="13">+IF(U112&lt;=100%,U112*N112,N112)</f>
        <v>8.3000000000000001E-3</v>
      </c>
      <c r="W112" s="108" t="s">
        <v>454</v>
      </c>
      <c r="X112" s="58"/>
      <c r="Y112" s="58"/>
      <c r="Z112" s="58"/>
    </row>
    <row r="113" spans="1:26" s="6" customFormat="1" ht="94.5" customHeight="1" x14ac:dyDescent="0.2">
      <c r="A113" s="70">
        <v>104</v>
      </c>
      <c r="B113" s="11" t="s">
        <v>283</v>
      </c>
      <c r="C113" s="12" t="s">
        <v>30</v>
      </c>
      <c r="D113" s="20" t="s">
        <v>261</v>
      </c>
      <c r="E113" s="22" t="s">
        <v>37</v>
      </c>
      <c r="F113" s="14" t="s">
        <v>48</v>
      </c>
      <c r="G113" s="5" t="s">
        <v>131</v>
      </c>
      <c r="H113" s="5" t="s">
        <v>132</v>
      </c>
      <c r="I113" s="5" t="s">
        <v>253</v>
      </c>
      <c r="J113" s="5" t="s">
        <v>219</v>
      </c>
      <c r="K113" s="5" t="s">
        <v>27</v>
      </c>
      <c r="L113" s="5" t="s">
        <v>242</v>
      </c>
      <c r="M113" s="24">
        <v>1</v>
      </c>
      <c r="N113" s="4">
        <v>3.4099999999999998E-3</v>
      </c>
      <c r="O113" s="28">
        <v>0</v>
      </c>
      <c r="P113" s="28"/>
      <c r="Q113" s="28"/>
      <c r="R113" s="28"/>
      <c r="S113" s="46">
        <f t="shared" si="12"/>
        <v>0</v>
      </c>
      <c r="T113" s="42" t="s">
        <v>247</v>
      </c>
      <c r="U113" s="17">
        <f t="shared" si="11"/>
        <v>0</v>
      </c>
      <c r="V113" s="13">
        <f t="shared" si="13"/>
        <v>0</v>
      </c>
      <c r="W113" s="108" t="s">
        <v>455</v>
      </c>
      <c r="X113" s="58"/>
      <c r="Y113" s="58"/>
      <c r="Z113" s="58"/>
    </row>
    <row r="114" spans="1:26" s="6" customFormat="1" ht="94.5" customHeight="1" x14ac:dyDescent="0.2">
      <c r="A114" s="70">
        <v>105</v>
      </c>
      <c r="B114" s="11" t="s">
        <v>283</v>
      </c>
      <c r="C114" s="12" t="s">
        <v>30</v>
      </c>
      <c r="D114" s="20" t="s">
        <v>261</v>
      </c>
      <c r="E114" s="22" t="s">
        <v>37</v>
      </c>
      <c r="F114" s="14" t="s">
        <v>48</v>
      </c>
      <c r="G114" s="5" t="s">
        <v>179</v>
      </c>
      <c r="H114" s="5" t="s">
        <v>180</v>
      </c>
      <c r="I114" s="5" t="s">
        <v>253</v>
      </c>
      <c r="J114" s="5" t="s">
        <v>237</v>
      </c>
      <c r="K114" s="5" t="s">
        <v>27</v>
      </c>
      <c r="L114" s="5" t="s">
        <v>243</v>
      </c>
      <c r="M114" s="26">
        <v>1</v>
      </c>
      <c r="N114" s="4">
        <v>5.0000000000000001E-3</v>
      </c>
      <c r="O114" s="34">
        <v>1</v>
      </c>
      <c r="P114" s="34"/>
      <c r="Q114" s="34"/>
      <c r="R114" s="34"/>
      <c r="S114" s="44">
        <f t="shared" si="12"/>
        <v>1</v>
      </c>
      <c r="T114" s="42" t="s">
        <v>248</v>
      </c>
      <c r="U114" s="17">
        <f t="shared" si="11"/>
        <v>1</v>
      </c>
      <c r="V114" s="13">
        <f t="shared" si="13"/>
        <v>5.0000000000000001E-3</v>
      </c>
      <c r="W114" s="108" t="s">
        <v>456</v>
      </c>
      <c r="X114" s="58"/>
      <c r="Y114" s="58"/>
      <c r="Z114" s="58"/>
    </row>
    <row r="115" spans="1:26" s="6" customFormat="1" ht="94.5" customHeight="1" x14ac:dyDescent="0.2">
      <c r="A115" s="70">
        <v>106</v>
      </c>
      <c r="B115" s="11" t="s">
        <v>283</v>
      </c>
      <c r="C115" s="12" t="s">
        <v>30</v>
      </c>
      <c r="D115" s="20" t="s">
        <v>261</v>
      </c>
      <c r="E115" s="22" t="s">
        <v>37</v>
      </c>
      <c r="F115" s="14" t="s">
        <v>48</v>
      </c>
      <c r="G115" s="5" t="s">
        <v>179</v>
      </c>
      <c r="H115" s="5" t="s">
        <v>181</v>
      </c>
      <c r="I115" s="5" t="s">
        <v>253</v>
      </c>
      <c r="J115" s="5" t="s">
        <v>238</v>
      </c>
      <c r="K115" s="5" t="s">
        <v>27</v>
      </c>
      <c r="L115" s="5" t="s">
        <v>242</v>
      </c>
      <c r="M115" s="24">
        <v>12</v>
      </c>
      <c r="N115" s="4">
        <v>5.0000000000000001E-3</v>
      </c>
      <c r="O115" s="28">
        <v>3</v>
      </c>
      <c r="P115" s="28"/>
      <c r="Q115" s="28"/>
      <c r="R115" s="28"/>
      <c r="S115" s="46">
        <f>SUM(O115:R115)</f>
        <v>3</v>
      </c>
      <c r="T115" s="42" t="s">
        <v>247</v>
      </c>
      <c r="U115" s="17">
        <f t="shared" si="11"/>
        <v>0.25</v>
      </c>
      <c r="V115" s="13">
        <f t="shared" si="13"/>
        <v>1.25E-3</v>
      </c>
      <c r="W115" s="108" t="s">
        <v>457</v>
      </c>
      <c r="X115" s="58"/>
      <c r="Y115" s="58"/>
      <c r="Z115" s="58"/>
    </row>
    <row r="116" spans="1:26" ht="36" x14ac:dyDescent="0.2">
      <c r="Z116" s="7" t="s">
        <v>28</v>
      </c>
    </row>
    <row r="118" spans="1:26" x14ac:dyDescent="0.2">
      <c r="O118" s="54"/>
      <c r="P118" s="54"/>
      <c r="Q118" s="54"/>
      <c r="R118" s="54"/>
      <c r="S118" s="8"/>
      <c r="T118" s="8"/>
    </row>
    <row r="124" spans="1:26" x14ac:dyDescent="0.2">
      <c r="O124" s="95">
        <f>+N98-O98</f>
        <v>-51.994999999999997</v>
      </c>
    </row>
    <row r="141" spans="4:5" x14ac:dyDescent="0.2">
      <c r="D141" s="9"/>
      <c r="E141" s="9"/>
    </row>
    <row r="143" spans="4:5" x14ac:dyDescent="0.2">
      <c r="D143" s="10"/>
      <c r="E143" s="10"/>
    </row>
  </sheetData>
  <autoFilter ref="A9:Z116"/>
  <mergeCells count="9">
    <mergeCell ref="A8:N8"/>
    <mergeCell ref="O8:V8"/>
    <mergeCell ref="W8:Z8"/>
    <mergeCell ref="A7:Z7"/>
    <mergeCell ref="A1:D3"/>
    <mergeCell ref="E1:Z3"/>
    <mergeCell ref="A4:Z4"/>
    <mergeCell ref="A5:Z5"/>
    <mergeCell ref="A6:Z6"/>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33"/>
  <sheetViews>
    <sheetView workbookViewId="0">
      <selection activeCell="B35" sqref="B35"/>
    </sheetView>
  </sheetViews>
  <sheetFormatPr baseColWidth="10" defaultColWidth="11.42578125" defaultRowHeight="15" x14ac:dyDescent="0.25"/>
  <cols>
    <col min="1" max="1" width="26.28515625" style="77" customWidth="1"/>
    <col min="2" max="2" width="24.140625" style="78" customWidth="1"/>
    <col min="3" max="3" width="34.140625" style="78" customWidth="1"/>
    <col min="4" max="16384" width="11.42578125" style="77"/>
  </cols>
  <sheetData>
    <row r="1" spans="1:4" ht="15" customHeight="1" x14ac:dyDescent="0.25">
      <c r="A1" s="138" t="s">
        <v>286</v>
      </c>
      <c r="B1" s="138"/>
      <c r="C1" s="138"/>
      <c r="D1" s="138"/>
    </row>
    <row r="2" spans="1:4" ht="15" customHeight="1" x14ac:dyDescent="0.25">
      <c r="A2" s="138"/>
      <c r="B2" s="138"/>
      <c r="C2" s="138"/>
      <c r="D2" s="138"/>
    </row>
    <row r="4" spans="1:4" x14ac:dyDescent="0.25">
      <c r="A4" s="137" t="s">
        <v>284</v>
      </c>
      <c r="B4" s="137"/>
      <c r="C4" s="137"/>
      <c r="D4" s="137"/>
    </row>
    <row r="5" spans="1:4" s="79" customFormat="1" x14ac:dyDescent="0.25">
      <c r="A5" s="79" t="s">
        <v>289</v>
      </c>
      <c r="B5" s="80" t="s">
        <v>288</v>
      </c>
      <c r="C5" s="80" t="s">
        <v>292</v>
      </c>
      <c r="D5" s="79" t="s">
        <v>293</v>
      </c>
    </row>
    <row r="6" spans="1:4" x14ac:dyDescent="0.25">
      <c r="A6" s="77" t="s">
        <v>285</v>
      </c>
      <c r="B6" s="78">
        <v>13300000000</v>
      </c>
      <c r="C6" s="78">
        <v>1300000000</v>
      </c>
      <c r="D6" s="81">
        <f>+C6/B6</f>
        <v>9.7744360902255634E-2</v>
      </c>
    </row>
    <row r="7" spans="1:4" x14ac:dyDescent="0.25">
      <c r="A7" s="77" t="s">
        <v>287</v>
      </c>
      <c r="B7" s="78">
        <v>500000000</v>
      </c>
      <c r="C7" s="78">
        <v>500000000</v>
      </c>
      <c r="D7" s="81">
        <f>+C7/B7</f>
        <v>1</v>
      </c>
    </row>
    <row r="9" spans="1:4" x14ac:dyDescent="0.25">
      <c r="A9" s="137" t="s">
        <v>291</v>
      </c>
      <c r="B9" s="137"/>
      <c r="C9" s="137"/>
      <c r="D9" s="137"/>
    </row>
    <row r="10" spans="1:4" x14ac:dyDescent="0.25">
      <c r="A10" s="79" t="s">
        <v>289</v>
      </c>
      <c r="B10" s="80" t="s">
        <v>288</v>
      </c>
      <c r="C10" s="80" t="s">
        <v>290</v>
      </c>
      <c r="D10" s="79" t="s">
        <v>293</v>
      </c>
    </row>
    <row r="11" spans="1:4" x14ac:dyDescent="0.25">
      <c r="A11" s="77" t="s">
        <v>291</v>
      </c>
      <c r="B11" s="78">
        <v>12400000000</v>
      </c>
      <c r="C11" s="78">
        <v>1240000000</v>
      </c>
      <c r="D11" s="81">
        <f>+C11/B11</f>
        <v>0.1</v>
      </c>
    </row>
    <row r="12" spans="1:4" x14ac:dyDescent="0.25">
      <c r="A12" s="77" t="s">
        <v>294</v>
      </c>
      <c r="B12" s="78">
        <v>900000000</v>
      </c>
      <c r="C12" s="78">
        <v>270000000</v>
      </c>
      <c r="D12" s="81">
        <f>+C12/B12</f>
        <v>0.3</v>
      </c>
    </row>
    <row r="14" spans="1:4" x14ac:dyDescent="0.25">
      <c r="A14" s="137" t="s">
        <v>295</v>
      </c>
      <c r="B14" s="137"/>
      <c r="C14" s="137"/>
      <c r="D14" s="137"/>
    </row>
    <row r="15" spans="1:4" x14ac:dyDescent="0.25">
      <c r="A15" s="79" t="s">
        <v>289</v>
      </c>
      <c r="B15" s="80" t="s">
        <v>288</v>
      </c>
      <c r="C15" s="80" t="s">
        <v>290</v>
      </c>
      <c r="D15" s="79" t="s">
        <v>293</v>
      </c>
    </row>
    <row r="16" spans="1:4" x14ac:dyDescent="0.25">
      <c r="A16" s="77" t="s">
        <v>296</v>
      </c>
      <c r="B16" s="78">
        <v>8930000000</v>
      </c>
      <c r="C16" s="78">
        <v>2679000000</v>
      </c>
      <c r="D16" s="81">
        <f>+C16/B16</f>
        <v>0.3</v>
      </c>
    </row>
    <row r="17" spans="1:5" x14ac:dyDescent="0.25">
      <c r="A17" s="77" t="s">
        <v>297</v>
      </c>
      <c r="B17" s="78">
        <v>600000000</v>
      </c>
      <c r="C17" s="78">
        <v>600000000</v>
      </c>
      <c r="D17" s="81">
        <f>+C17/B17</f>
        <v>1</v>
      </c>
      <c r="E17" s="77" t="s">
        <v>298</v>
      </c>
    </row>
    <row r="22" spans="1:5" x14ac:dyDescent="0.25">
      <c r="B22" s="78">
        <f>+B6+B7+B11+B12+B16+B17</f>
        <v>36630000000</v>
      </c>
      <c r="C22" s="78">
        <f>+C6+C7+C11+C12+C16+C17</f>
        <v>6589000000</v>
      </c>
      <c r="D22" s="81">
        <f>+C22/B22</f>
        <v>0.17987987987987988</v>
      </c>
    </row>
    <row r="25" spans="1:5" x14ac:dyDescent="0.25">
      <c r="B25" s="77"/>
      <c r="C25" s="77"/>
    </row>
    <row r="26" spans="1:5" x14ac:dyDescent="0.25">
      <c r="B26" s="77"/>
      <c r="C26" s="77"/>
    </row>
    <row r="28" spans="1:5" x14ac:dyDescent="0.25">
      <c r="B28" s="77"/>
      <c r="C28" s="77"/>
    </row>
    <row r="29" spans="1:5" x14ac:dyDescent="0.25">
      <c r="B29" s="77"/>
      <c r="C29" s="77"/>
    </row>
    <row r="30" spans="1:5" x14ac:dyDescent="0.25">
      <c r="B30" s="77"/>
      <c r="C30" s="77"/>
    </row>
    <row r="31" spans="1:5" x14ac:dyDescent="0.25">
      <c r="B31" s="77"/>
      <c r="C31" s="77"/>
    </row>
    <row r="32" spans="1:5" x14ac:dyDescent="0.25">
      <c r="B32" s="77"/>
      <c r="C32" s="77"/>
    </row>
    <row r="33" s="77" customFormat="1" x14ac:dyDescent="0.25"/>
  </sheetData>
  <mergeCells count="4">
    <mergeCell ref="A14:D14"/>
    <mergeCell ref="A4:D4"/>
    <mergeCell ref="A1:D2"/>
    <mergeCell ref="A9:D9"/>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6"/>
  <sheetViews>
    <sheetView workbookViewId="0">
      <selection activeCell="B30" sqref="B30"/>
    </sheetView>
  </sheetViews>
  <sheetFormatPr baseColWidth="10" defaultColWidth="11.42578125" defaultRowHeight="15" x14ac:dyDescent="0.25"/>
  <cols>
    <col min="1" max="1" width="32.85546875" style="77" customWidth="1"/>
    <col min="2" max="2" width="15.42578125" style="77" customWidth="1"/>
    <col min="3" max="3" width="15.28515625" style="77" customWidth="1"/>
    <col min="4" max="4" width="17.85546875" style="77" customWidth="1"/>
    <col min="5" max="5" width="13.85546875" style="77" customWidth="1"/>
    <col min="6" max="8" width="11.42578125" style="77"/>
    <col min="9" max="9" width="13.42578125" style="77" customWidth="1"/>
    <col min="10" max="10" width="11.42578125" style="77"/>
    <col min="11" max="11" width="13.28515625" style="77" customWidth="1"/>
    <col min="12" max="12" width="15.7109375" style="77" customWidth="1"/>
    <col min="13" max="16384" width="11.42578125" style="77"/>
  </cols>
  <sheetData>
    <row r="2" spans="1:13" ht="21.75" customHeight="1" x14ac:dyDescent="0.25">
      <c r="A2" s="140" t="s">
        <v>306</v>
      </c>
      <c r="B2" s="141"/>
      <c r="C2" s="141"/>
      <c r="D2" s="141"/>
      <c r="E2" s="141"/>
      <c r="F2" s="141"/>
      <c r="G2" s="141"/>
      <c r="H2" s="141"/>
      <c r="I2" s="141"/>
      <c r="J2" s="141"/>
      <c r="K2" s="141"/>
      <c r="L2" s="141"/>
      <c r="M2" s="142"/>
    </row>
    <row r="3" spans="1:13" x14ac:dyDescent="0.25">
      <c r="A3" s="82"/>
      <c r="B3" s="139" t="s">
        <v>301</v>
      </c>
      <c r="C3" s="139"/>
      <c r="D3" s="139"/>
      <c r="E3" s="139" t="s">
        <v>302</v>
      </c>
      <c r="F3" s="139"/>
      <c r="G3" s="139"/>
      <c r="H3" s="139" t="s">
        <v>303</v>
      </c>
      <c r="I3" s="139"/>
      <c r="J3" s="139"/>
      <c r="K3" s="139" t="s">
        <v>304</v>
      </c>
      <c r="L3" s="139"/>
      <c r="M3" s="139"/>
    </row>
    <row r="4" spans="1:13" s="84" customFormat="1" ht="30" x14ac:dyDescent="0.25">
      <c r="A4" s="61"/>
      <c r="B4" s="87" t="s">
        <v>307</v>
      </c>
      <c r="C4" s="87" t="s">
        <v>300</v>
      </c>
      <c r="D4" s="86" t="s">
        <v>293</v>
      </c>
      <c r="E4" s="87" t="s">
        <v>307</v>
      </c>
      <c r="F4" s="87" t="s">
        <v>300</v>
      </c>
      <c r="G4" s="86" t="s">
        <v>293</v>
      </c>
      <c r="H4" s="86" t="s">
        <v>299</v>
      </c>
      <c r="I4" s="87" t="s">
        <v>307</v>
      </c>
      <c r="J4" s="86" t="s">
        <v>293</v>
      </c>
      <c r="K4" s="87" t="s">
        <v>307</v>
      </c>
      <c r="L4" s="87" t="s">
        <v>300</v>
      </c>
      <c r="M4" s="86" t="s">
        <v>293</v>
      </c>
    </row>
    <row r="5" spans="1:13" x14ac:dyDescent="0.25">
      <c r="A5" s="82"/>
      <c r="B5" s="83">
        <v>0</v>
      </c>
      <c r="C5" s="83">
        <v>0</v>
      </c>
      <c r="D5" s="85" t="e">
        <f>+C5/B5</f>
        <v>#DIV/0!</v>
      </c>
      <c r="E5" s="83"/>
      <c r="F5" s="82"/>
      <c r="G5" s="85" t="e">
        <f>+F5/E5</f>
        <v>#DIV/0!</v>
      </c>
      <c r="H5" s="82"/>
      <c r="I5" s="82"/>
      <c r="J5" s="85" t="e">
        <f>+I5/H5</f>
        <v>#DIV/0!</v>
      </c>
      <c r="K5" s="82"/>
      <c r="L5" s="82"/>
      <c r="M5" s="85" t="e">
        <f>+L5/K5</f>
        <v>#DIV/0!</v>
      </c>
    </row>
    <row r="6" spans="1:13" x14ac:dyDescent="0.25">
      <c r="A6" s="82" t="s">
        <v>305</v>
      </c>
      <c r="B6" s="83">
        <v>0</v>
      </c>
      <c r="C6" s="83">
        <v>0</v>
      </c>
      <c r="D6" s="85" t="e">
        <f t="shared" ref="D6:D11" si="0">+C6/B6</f>
        <v>#DIV/0!</v>
      </c>
      <c r="E6" s="83"/>
      <c r="F6" s="82"/>
      <c r="G6" s="85" t="e">
        <f t="shared" ref="G6:G11" si="1">+F6/E6</f>
        <v>#DIV/0!</v>
      </c>
      <c r="H6" s="82"/>
      <c r="I6" s="82"/>
      <c r="J6" s="85" t="e">
        <f t="shared" ref="J6:J11" si="2">+I6/H6</f>
        <v>#DIV/0!</v>
      </c>
      <c r="K6" s="82"/>
      <c r="L6" s="82"/>
      <c r="M6" s="85" t="e">
        <f t="shared" ref="M6:M11" si="3">+L6/K6</f>
        <v>#DIV/0!</v>
      </c>
    </row>
    <row r="7" spans="1:13" x14ac:dyDescent="0.25">
      <c r="A7" s="82" t="s">
        <v>287</v>
      </c>
      <c r="B7" s="83">
        <v>0</v>
      </c>
      <c r="C7" s="83">
        <v>0</v>
      </c>
      <c r="D7" s="85" t="e">
        <f t="shared" si="0"/>
        <v>#DIV/0!</v>
      </c>
      <c r="E7" s="83"/>
      <c r="F7" s="82"/>
      <c r="G7" s="85" t="e">
        <f t="shared" si="1"/>
        <v>#DIV/0!</v>
      </c>
      <c r="H7" s="82"/>
      <c r="I7" s="82"/>
      <c r="J7" s="85" t="e">
        <f t="shared" si="2"/>
        <v>#DIV/0!</v>
      </c>
      <c r="K7" s="82"/>
      <c r="L7" s="82"/>
      <c r="M7" s="85" t="e">
        <f t="shared" si="3"/>
        <v>#DIV/0!</v>
      </c>
    </row>
    <row r="8" spans="1:13" x14ac:dyDescent="0.25">
      <c r="A8" s="82" t="s">
        <v>291</v>
      </c>
      <c r="B8" s="83">
        <v>0</v>
      </c>
      <c r="C8" s="83">
        <v>0</v>
      </c>
      <c r="D8" s="85" t="e">
        <f t="shared" si="0"/>
        <v>#DIV/0!</v>
      </c>
      <c r="E8" s="83"/>
      <c r="F8" s="82"/>
      <c r="G8" s="85" t="e">
        <f t="shared" si="1"/>
        <v>#DIV/0!</v>
      </c>
      <c r="H8" s="82"/>
      <c r="I8" s="82"/>
      <c r="J8" s="85" t="e">
        <f t="shared" si="2"/>
        <v>#DIV/0!</v>
      </c>
      <c r="K8" s="82"/>
      <c r="L8" s="82"/>
      <c r="M8" s="85" t="e">
        <f t="shared" si="3"/>
        <v>#DIV/0!</v>
      </c>
    </row>
    <row r="9" spans="1:13" x14ac:dyDescent="0.25">
      <c r="A9" s="82" t="s">
        <v>294</v>
      </c>
      <c r="B9" s="83">
        <v>0</v>
      </c>
      <c r="C9" s="83">
        <v>0</v>
      </c>
      <c r="D9" s="85" t="e">
        <f t="shared" si="0"/>
        <v>#DIV/0!</v>
      </c>
      <c r="E9" s="83"/>
      <c r="F9" s="82"/>
      <c r="G9" s="85" t="e">
        <f t="shared" si="1"/>
        <v>#DIV/0!</v>
      </c>
      <c r="H9" s="82"/>
      <c r="I9" s="82"/>
      <c r="J9" s="85" t="e">
        <f t="shared" si="2"/>
        <v>#DIV/0!</v>
      </c>
      <c r="K9" s="82"/>
      <c r="L9" s="82"/>
      <c r="M9" s="85" t="e">
        <f t="shared" si="3"/>
        <v>#DIV/0!</v>
      </c>
    </row>
    <row r="10" spans="1:13" x14ac:dyDescent="0.25">
      <c r="A10" s="82" t="s">
        <v>296</v>
      </c>
      <c r="B10" s="83">
        <v>0</v>
      </c>
      <c r="C10" s="83">
        <v>0</v>
      </c>
      <c r="D10" s="85" t="e">
        <f t="shared" si="0"/>
        <v>#DIV/0!</v>
      </c>
      <c r="E10" s="83"/>
      <c r="F10" s="82"/>
      <c r="G10" s="85" t="e">
        <f t="shared" si="1"/>
        <v>#DIV/0!</v>
      </c>
      <c r="H10" s="82"/>
      <c r="I10" s="82"/>
      <c r="J10" s="85" t="e">
        <f t="shared" si="2"/>
        <v>#DIV/0!</v>
      </c>
      <c r="K10" s="82"/>
      <c r="L10" s="82"/>
      <c r="M10" s="85" t="e">
        <f t="shared" si="3"/>
        <v>#DIV/0!</v>
      </c>
    </row>
    <row r="11" spans="1:13" x14ac:dyDescent="0.25">
      <c r="A11" s="82" t="s">
        <v>297</v>
      </c>
      <c r="B11" s="83">
        <v>0</v>
      </c>
      <c r="C11" s="83">
        <v>0</v>
      </c>
      <c r="D11" s="85" t="e">
        <f t="shared" si="0"/>
        <v>#DIV/0!</v>
      </c>
      <c r="E11" s="83"/>
      <c r="F11" s="82"/>
      <c r="G11" s="85" t="e">
        <f t="shared" si="1"/>
        <v>#DIV/0!</v>
      </c>
      <c r="H11" s="82"/>
      <c r="I11" s="82"/>
      <c r="J11" s="85" t="e">
        <f t="shared" si="2"/>
        <v>#DIV/0!</v>
      </c>
      <c r="K11" s="82"/>
      <c r="L11" s="82"/>
      <c r="M11" s="85" t="e">
        <f t="shared" si="3"/>
        <v>#DIV/0!</v>
      </c>
    </row>
    <row r="16" spans="1:13" ht="38.25" x14ac:dyDescent="0.25">
      <c r="C16" s="76" t="s">
        <v>217</v>
      </c>
    </row>
  </sheetData>
  <mergeCells count="5">
    <mergeCell ref="B3:D3"/>
    <mergeCell ref="E3:G3"/>
    <mergeCell ref="H3:J3"/>
    <mergeCell ref="K3:M3"/>
    <mergeCell ref="A2:M2"/>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workbookViewId="0">
      <selection activeCell="E10" sqref="E10"/>
    </sheetView>
  </sheetViews>
  <sheetFormatPr baseColWidth="10" defaultRowHeight="15" x14ac:dyDescent="0.25"/>
  <cols>
    <col min="1" max="1" width="43.5703125" customWidth="1"/>
    <col min="2" max="2" width="22.5703125" style="38" bestFit="1" customWidth="1"/>
    <col min="3" max="3" width="33.28515625" style="38" bestFit="1" customWidth="1"/>
  </cols>
  <sheetData>
    <row r="1" spans="1:7" ht="21" x14ac:dyDescent="0.25">
      <c r="B1" s="37" t="s">
        <v>267</v>
      </c>
      <c r="C1" s="37" t="s">
        <v>463</v>
      </c>
    </row>
    <row r="2" spans="1:7" x14ac:dyDescent="0.25">
      <c r="A2" t="s">
        <v>268</v>
      </c>
      <c r="F2" t="s">
        <v>271</v>
      </c>
      <c r="G2" s="21" t="e">
        <f>+SUM(Telemedellín!V10:V115)</f>
        <v>#VALUE!</v>
      </c>
    </row>
    <row r="3" spans="1:7" x14ac:dyDescent="0.25">
      <c r="A3" s="18" t="s">
        <v>255</v>
      </c>
      <c r="B3" s="56" t="s">
        <v>263</v>
      </c>
      <c r="C3" t="s">
        <v>273</v>
      </c>
      <c r="F3" t="s">
        <v>272</v>
      </c>
      <c r="G3" s="21" t="e">
        <f>1-G2</f>
        <v>#VALUE!</v>
      </c>
    </row>
    <row r="4" spans="1:7" x14ac:dyDescent="0.25">
      <c r="A4" s="19" t="s">
        <v>257</v>
      </c>
      <c r="B4" s="55">
        <v>4.9975000000000006E-2</v>
      </c>
      <c r="C4" s="55">
        <v>8.1397342576147343E-3</v>
      </c>
      <c r="D4" s="36"/>
    </row>
    <row r="5" spans="1:7" x14ac:dyDescent="0.25">
      <c r="A5" s="19" t="s">
        <v>258</v>
      </c>
      <c r="B5" s="55">
        <v>8.2333333333333342E-2</v>
      </c>
      <c r="C5" s="55" t="e">
        <v>#VALUE!</v>
      </c>
      <c r="D5" s="36"/>
    </row>
    <row r="6" spans="1:7" x14ac:dyDescent="0.25">
      <c r="A6" s="19" t="s">
        <v>259</v>
      </c>
      <c r="B6" s="55">
        <v>0.43450000000000016</v>
      </c>
      <c r="C6" s="55">
        <v>7.9521151093456213E-2</v>
      </c>
      <c r="D6" s="36"/>
    </row>
    <row r="7" spans="1:7" x14ac:dyDescent="0.25">
      <c r="A7" s="19" t="s">
        <v>260</v>
      </c>
      <c r="B7" s="55">
        <v>0.11595</v>
      </c>
      <c r="C7" s="55">
        <v>1.0548060589414597E-2</v>
      </c>
      <c r="D7" s="36"/>
    </row>
    <row r="8" spans="1:7" x14ac:dyDescent="0.25">
      <c r="A8" s="19" t="s">
        <v>261</v>
      </c>
      <c r="B8" s="55">
        <v>0.25887958333333333</v>
      </c>
      <c r="C8" s="55">
        <v>5.4101249200917981E-2</v>
      </c>
      <c r="D8" s="36"/>
    </row>
    <row r="9" spans="1:7" x14ac:dyDescent="0.25">
      <c r="A9" s="19" t="s">
        <v>262</v>
      </c>
      <c r="B9" s="55">
        <v>5.8380499999999995E-2</v>
      </c>
      <c r="C9" s="55">
        <v>1.8200368913754619E-2</v>
      </c>
      <c r="D9" s="36"/>
    </row>
    <row r="10" spans="1:7" x14ac:dyDescent="0.25">
      <c r="A10" s="19" t="s">
        <v>256</v>
      </c>
      <c r="B10" s="55">
        <v>1.0000184166666668</v>
      </c>
      <c r="C10" s="55" t="e">
        <v>#VALUE!</v>
      </c>
      <c r="D10" s="36"/>
    </row>
    <row r="13" spans="1:7" x14ac:dyDescent="0.25">
      <c r="A13" s="19" t="s">
        <v>269</v>
      </c>
    </row>
    <row r="14" spans="1:7" x14ac:dyDescent="0.25">
      <c r="A14" s="18" t="s">
        <v>255</v>
      </c>
      <c r="B14" s="56" t="s">
        <v>263</v>
      </c>
      <c r="C14" t="s">
        <v>273</v>
      </c>
    </row>
    <row r="15" spans="1:7" x14ac:dyDescent="0.25">
      <c r="A15" s="19" t="s">
        <v>32</v>
      </c>
      <c r="B15" s="55">
        <v>0.124</v>
      </c>
      <c r="C15" s="55">
        <v>1.0499575840000001E-2</v>
      </c>
    </row>
    <row r="16" spans="1:7" x14ac:dyDescent="0.25">
      <c r="A16" s="19" t="s">
        <v>33</v>
      </c>
      <c r="B16" s="55">
        <v>7.4479166666666666E-2</v>
      </c>
      <c r="C16" s="55">
        <v>3.9924851190476195E-3</v>
      </c>
    </row>
    <row r="17" spans="1:4" x14ac:dyDescent="0.25">
      <c r="A17" s="19" t="s">
        <v>36</v>
      </c>
      <c r="B17" s="55">
        <v>7.6533333333333342E-2</v>
      </c>
      <c r="C17" s="55" t="e">
        <v>#VALUE!</v>
      </c>
    </row>
    <row r="18" spans="1:4" x14ac:dyDescent="0.25">
      <c r="A18" s="19" t="s">
        <v>37</v>
      </c>
      <c r="B18" s="55">
        <v>0.36822258333333346</v>
      </c>
      <c r="C18" s="55">
        <v>8.0144581538954013E-2</v>
      </c>
    </row>
    <row r="19" spans="1:4" x14ac:dyDescent="0.25">
      <c r="A19" s="19" t="s">
        <v>35</v>
      </c>
      <c r="B19" s="55">
        <v>6.5000000000000002E-2</v>
      </c>
      <c r="C19" s="55">
        <v>3.9000000000000003E-3</v>
      </c>
    </row>
    <row r="20" spans="1:4" x14ac:dyDescent="0.25">
      <c r="A20" s="19" t="s">
        <v>34</v>
      </c>
      <c r="B20" s="55">
        <v>8.9749999999999996E-2</v>
      </c>
      <c r="C20" s="55">
        <v>4.2726812790697677E-3</v>
      </c>
    </row>
    <row r="21" spans="1:4" x14ac:dyDescent="0.25">
      <c r="A21" s="19" t="s">
        <v>31</v>
      </c>
      <c r="B21" s="55">
        <v>0.20203333333333334</v>
      </c>
      <c r="C21" s="55">
        <v>6.7701240278086772E-2</v>
      </c>
    </row>
    <row r="22" spans="1:4" x14ac:dyDescent="0.25">
      <c r="A22" s="19" t="s">
        <v>256</v>
      </c>
      <c r="B22" s="55">
        <v>1.0000184166666668</v>
      </c>
      <c r="C22" s="55" t="e">
        <v>#VALUE!</v>
      </c>
    </row>
    <row r="25" spans="1:4" x14ac:dyDescent="0.25">
      <c r="A25" s="18" t="s">
        <v>255</v>
      </c>
      <c r="B25" s="56" t="s">
        <v>263</v>
      </c>
      <c r="C25" t="s">
        <v>273</v>
      </c>
    </row>
    <row r="26" spans="1:4" x14ac:dyDescent="0.25">
      <c r="A26" s="19" t="s">
        <v>44</v>
      </c>
      <c r="B26" s="91">
        <v>7.6517999999999989E-2</v>
      </c>
      <c r="C26" s="91">
        <v>2.4403598080421283E-2</v>
      </c>
      <c r="D26" s="92">
        <f>+GETPIVOTDATA("Suma de Total alcanzado ponderado",$A$25,"RESPONSABLE","Agencia TM")/GETPIVOTDATA("Suma de PONDERACIÓN",$A$25,"RESPONSABLE","Agencia TM")</f>
        <v>0.31892624062862707</v>
      </c>
    </row>
    <row r="27" spans="1:4" x14ac:dyDescent="0.25">
      <c r="A27" s="19" t="s">
        <v>45</v>
      </c>
      <c r="B27" s="91">
        <v>2.9166666666666667E-2</v>
      </c>
      <c r="C27" s="91">
        <v>3.0333333333333336E-3</v>
      </c>
      <c r="D27" s="92">
        <f>+GETPIVOTDATA("Suma de Total alcanzado ponderado",$A$25,"RESPONSABLE","Control Interno")/GETPIVOTDATA("Suma de PONDERACIÓN",$A$25,"RESPONSABLE","Control Interno")</f>
        <v>0.10400000000000001</v>
      </c>
    </row>
    <row r="28" spans="1:4" x14ac:dyDescent="0.25">
      <c r="A28" s="19" t="s">
        <v>42</v>
      </c>
      <c r="B28" s="91">
        <v>9.9890000000000007E-2</v>
      </c>
      <c r="C28" s="91">
        <v>1.3890953406550909E-2</v>
      </c>
      <c r="D28" s="92">
        <f>+GETPIVOTDATA("Suma de Total alcanzado ponderado",$A$25,"RESPONSABLE","Dirección Administrativa y Financiera")/GETPIVOTDATA("Suma de PONDERACIÓN",$A$25,"RESPONSABLE","Dirección Administrativa y Financiera")</f>
        <v>0.13906250281860955</v>
      </c>
    </row>
    <row r="29" spans="1:4" x14ac:dyDescent="0.25">
      <c r="A29" s="19" t="s">
        <v>38</v>
      </c>
      <c r="B29" s="91">
        <v>0.26427500000000004</v>
      </c>
      <c r="C29" s="91">
        <v>6.7701240278086772E-2</v>
      </c>
      <c r="D29" s="92">
        <f>+GETPIVOTDATA("Suma de Total alcanzado ponderado",$A$25,"RESPONSABLE","Dirección de Contenidos y Distribución")/GETPIVOTDATA("Suma de PONDERACIÓN",$A$25,"RESPONSABLE","Dirección de Contenidos y Distribución")</f>
        <v>0.25617724067008518</v>
      </c>
    </row>
    <row r="30" spans="1:4" x14ac:dyDescent="0.25">
      <c r="A30" s="19" t="s">
        <v>39</v>
      </c>
      <c r="B30" s="91">
        <v>0.124</v>
      </c>
      <c r="C30" s="91">
        <v>1.0499575840000001E-2</v>
      </c>
      <c r="D30" s="92">
        <f>+GETPIVOTDATA("Suma de Total alcanzado ponderado",$A$25,"RESPONSABLE","Dirección de Contenidos y Distribución (Digital)")/GETPIVOTDATA("Suma de PONDERACIÓN",$A$25,"RESPONSABLE","Dirección de Contenidos y Distribución (Digital)")</f>
        <v>8.4673998709677428E-2</v>
      </c>
    </row>
    <row r="31" spans="1:4" x14ac:dyDescent="0.25">
      <c r="A31" s="19" t="s">
        <v>40</v>
      </c>
      <c r="B31" s="91">
        <v>0.10767083333333334</v>
      </c>
      <c r="C31" s="91">
        <v>9.6624851190476209E-3</v>
      </c>
      <c r="D31" s="92">
        <f>+GETPIVOTDATA("Suma de Total alcanzado ponderado",$A$25,"RESPONSABLE","Dirección de Relaciones Corporativas")/GETPIVOTDATA("Suma de PONDERACIÓN",$A$25,"RESPONSABLE","Dirección de Relaciones Corporativas")</f>
        <v>8.9740970882374094E-2</v>
      </c>
    </row>
    <row r="32" spans="1:4" x14ac:dyDescent="0.25">
      <c r="A32" s="19" t="s">
        <v>41</v>
      </c>
      <c r="B32" s="91">
        <v>0.11244166666666666</v>
      </c>
      <c r="C32" s="91">
        <v>9.0851812790697685E-3</v>
      </c>
      <c r="D32" s="92">
        <f>+GETPIVOTDATA("Suma de Total alcanzado ponderado",$A$25,"RESPONSABLE","Dirección de Tecnología e Innovación")/GETPIVOTDATA("Suma de PONDERACIÓN",$A$25,"RESPONSABLE","Dirección de Tecnología e Innovación")</f>
        <v>8.0799062735371838E-2</v>
      </c>
    </row>
    <row r="33" spans="1:4" x14ac:dyDescent="0.25">
      <c r="A33" s="19" t="s">
        <v>43</v>
      </c>
      <c r="B33" s="91">
        <v>9.1695416666666682E-2</v>
      </c>
      <c r="C33" s="91" t="e">
        <v>#VALUE!</v>
      </c>
      <c r="D33" s="92" t="e">
        <f>+GETPIVOTDATA("Suma de Total alcanzado ponderado",$A$25,"RESPONSABLE","Jefatura de Gestión Humana")/GETPIVOTDATA("Suma de PONDERACIÓN",$A$25,"RESPONSABLE","Jefatura de Gestión Humana")</f>
        <v>#VALUE!</v>
      </c>
    </row>
    <row r="34" spans="1:4" x14ac:dyDescent="0.25">
      <c r="A34" s="19" t="s">
        <v>46</v>
      </c>
      <c r="B34" s="91">
        <v>3.9278750000000001E-2</v>
      </c>
      <c r="C34" s="91">
        <v>1.0444282001299547E-3</v>
      </c>
      <c r="D34" s="92">
        <f>+GETPIVOTDATA("Suma de Total alcanzado ponderado",$A$25,"RESPONSABLE","Planeación")/GETPIVOTDATA("Suma de PONDERACIÓN",$A$25,"RESPONSABLE","Planeación")</f>
        <v>2.6590158804186862E-2</v>
      </c>
    </row>
    <row r="35" spans="1:4" x14ac:dyDescent="0.25">
      <c r="A35" s="19" t="s">
        <v>47</v>
      </c>
      <c r="B35" s="91">
        <v>1.7433333333333332E-2</v>
      </c>
      <c r="C35" s="91">
        <v>5.8333333333333336E-3</v>
      </c>
      <c r="D35" s="92">
        <f>+GETPIVOTDATA("Suma de Total alcanzado ponderado",$A$25,"RESPONSABLE","Producción")/GETPIVOTDATA("Suma de PONDERACIÓN",$A$25,"RESPONSABLE","Producción")</f>
        <v>0.33460803059273425</v>
      </c>
    </row>
    <row r="36" spans="1:4" x14ac:dyDescent="0.25">
      <c r="A36" s="19" t="s">
        <v>48</v>
      </c>
      <c r="B36" s="91">
        <v>3.7648749999999995E-2</v>
      </c>
      <c r="C36" s="91">
        <v>1.924E-2</v>
      </c>
      <c r="D36" s="92">
        <f>+GETPIVOTDATA("Suma de Total alcanzado ponderado",$A$25,"RESPONSABLE","Secretaría General")/GETPIVOTDATA("Suma de PONDERACIÓN",$A$25,"RESPONSABLE","Secretaría General")</f>
        <v>0.5110395431455228</v>
      </c>
    </row>
    <row r="37" spans="1:4" x14ac:dyDescent="0.25">
      <c r="A37" s="19" t="s">
        <v>256</v>
      </c>
      <c r="B37" s="55">
        <v>1.0000184166666668</v>
      </c>
      <c r="C37" s="55" t="e">
        <v>#VALUE!</v>
      </c>
    </row>
  </sheetData>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Telemedellín</vt:lpstr>
      <vt:lpstr>Hoja1</vt:lpstr>
      <vt:lpstr>Utilidades</vt:lpstr>
      <vt:lpstr>Tablas 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Rico</dc:creator>
  <cp:lastModifiedBy>Juan Morales</cp:lastModifiedBy>
  <dcterms:created xsi:type="dcterms:W3CDTF">2024-09-24T14:41:59Z</dcterms:created>
  <dcterms:modified xsi:type="dcterms:W3CDTF">2026-04-30T18:56:08Z</dcterms:modified>
</cp:coreProperties>
</file>