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alpha\calidad\1. Procesos Telemedellín\1. Direccionamiento Estratégico\5. Planes de acción\Planes 2026\"/>
    </mc:Choice>
  </mc:AlternateContent>
  <bookViews>
    <workbookView xWindow="-105" yWindow="-105" windowWidth="19425" windowHeight="10305"/>
  </bookViews>
  <sheets>
    <sheet name="Telemedellín" sheetId="1" r:id="rId1"/>
    <sheet name="Hoja1" sheetId="5" state="hidden" r:id="rId2"/>
    <sheet name="Utilidades" sheetId="6" state="hidden" r:id="rId3"/>
    <sheet name="Tablas Resumen" sheetId="4" state="hidden" r:id="rId4"/>
  </sheets>
  <definedNames>
    <definedName name="_xlnm._FilterDatabase" localSheetId="0" hidden="1">Telemedellín!$A$9:$Z$116</definedName>
  </definedNames>
  <calcPr calcId="162913"/>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96" i="1" l="1"/>
  <c r="U96" i="1" s="1"/>
  <c r="V96" i="1" s="1"/>
  <c r="O124" i="1"/>
  <c r="O71" i="1" l="1"/>
  <c r="S77" i="1" l="1"/>
  <c r="R105" i="1" l="1"/>
  <c r="Q105" i="1"/>
  <c r="P105" i="1"/>
  <c r="O105" i="1"/>
  <c r="S105" i="1" l="1"/>
  <c r="U105" i="1" s="1"/>
  <c r="V105" i="1" s="1"/>
  <c r="S56" i="1"/>
  <c r="U56" i="1" s="1"/>
  <c r="V56" i="1" s="1"/>
  <c r="S55" i="1"/>
  <c r="U55" i="1" s="1"/>
  <c r="V55" i="1" s="1"/>
  <c r="S54" i="1"/>
  <c r="U54" i="1" s="1"/>
  <c r="V54" i="1" s="1"/>
  <c r="S53" i="1"/>
  <c r="U53" i="1" s="1"/>
  <c r="V53" i="1" s="1"/>
  <c r="S52" i="1"/>
  <c r="U52" i="1" s="1"/>
  <c r="V52" i="1" s="1"/>
  <c r="M11" i="6"/>
  <c r="M10" i="6"/>
  <c r="M9" i="6"/>
  <c r="M8" i="6"/>
  <c r="M7" i="6"/>
  <c r="M6" i="6"/>
  <c r="M5" i="6"/>
  <c r="J11" i="6"/>
  <c r="J10" i="6"/>
  <c r="J9" i="6"/>
  <c r="J8" i="6"/>
  <c r="J7" i="6"/>
  <c r="J6" i="6"/>
  <c r="J5" i="6"/>
  <c r="G11" i="6"/>
  <c r="G10" i="6"/>
  <c r="G9" i="6"/>
  <c r="G8" i="6"/>
  <c r="G7" i="6"/>
  <c r="G6" i="6"/>
  <c r="G5" i="6"/>
  <c r="D6" i="6"/>
  <c r="D7" i="6"/>
  <c r="D8" i="6"/>
  <c r="D9" i="6"/>
  <c r="D10" i="6"/>
  <c r="D11" i="6"/>
  <c r="D5" i="6"/>
  <c r="C22" i="5"/>
  <c r="D22" i="5"/>
  <c r="B22" i="5"/>
  <c r="D17" i="5"/>
  <c r="D16" i="5"/>
  <c r="D12" i="5"/>
  <c r="D11" i="5"/>
  <c r="D7" i="5"/>
  <c r="D6" i="5"/>
  <c r="S41" i="1"/>
  <c r="U41" i="1" s="1"/>
  <c r="V41" i="1" s="1"/>
  <c r="S51" i="1"/>
  <c r="U51" i="1" s="1"/>
  <c r="V51" i="1" s="1"/>
  <c r="S113" i="1"/>
  <c r="U113" i="1" s="1"/>
  <c r="V113" i="1" s="1"/>
  <c r="S21" i="1"/>
  <c r="U21" i="1" s="1"/>
  <c r="V21" i="1" s="1"/>
  <c r="S22" i="1"/>
  <c r="U22" i="1" s="1"/>
  <c r="V22" i="1" s="1"/>
  <c r="S23" i="1"/>
  <c r="U23" i="1" s="1"/>
  <c r="V23" i="1" s="1"/>
  <c r="S42" i="1"/>
  <c r="U42" i="1" s="1"/>
  <c r="V42" i="1" s="1"/>
  <c r="S43" i="1"/>
  <c r="U43" i="1" s="1"/>
  <c r="V43" i="1" s="1"/>
  <c r="S40" i="1"/>
  <c r="U40" i="1" s="1"/>
  <c r="V40" i="1" s="1"/>
  <c r="S74" i="1"/>
  <c r="U74" i="1" s="1"/>
  <c r="V74" i="1" s="1"/>
  <c r="S110" i="1"/>
  <c r="U110" i="1" s="1"/>
  <c r="V110" i="1" s="1"/>
  <c r="S44" i="1"/>
  <c r="U44" i="1" s="1"/>
  <c r="V44" i="1" s="1"/>
  <c r="S39" i="1"/>
  <c r="U39" i="1" s="1"/>
  <c r="V39" i="1" s="1"/>
  <c r="S84" i="1"/>
  <c r="U84" i="1" s="1"/>
  <c r="V84" i="1" s="1"/>
  <c r="S115" i="1"/>
  <c r="U115" i="1" s="1"/>
  <c r="V115" i="1" s="1"/>
  <c r="S114" i="1"/>
  <c r="U114" i="1" s="1"/>
  <c r="V114" i="1" s="1"/>
  <c r="S112" i="1"/>
  <c r="U112" i="1" s="1"/>
  <c r="V112" i="1" s="1"/>
  <c r="S111" i="1"/>
  <c r="U111" i="1" s="1"/>
  <c r="V111" i="1" s="1"/>
  <c r="S109" i="1"/>
  <c r="U109" i="1" s="1"/>
  <c r="V109" i="1" s="1"/>
  <c r="S108" i="1"/>
  <c r="U108" i="1" s="1"/>
  <c r="V108" i="1" s="1"/>
  <c r="S107" i="1"/>
  <c r="U107" i="1" s="1"/>
  <c r="V107" i="1" s="1"/>
  <c r="S106" i="1"/>
  <c r="U106" i="1" s="1"/>
  <c r="V106" i="1" s="1"/>
  <c r="S104" i="1"/>
  <c r="U104" i="1" s="1"/>
  <c r="V104" i="1" s="1"/>
  <c r="S103" i="1"/>
  <c r="U103" i="1" s="1"/>
  <c r="V103" i="1" s="1"/>
  <c r="S102" i="1"/>
  <c r="U102" i="1" s="1"/>
  <c r="V102" i="1" s="1"/>
  <c r="S101" i="1"/>
  <c r="U101" i="1" s="1"/>
  <c r="V101" i="1" s="1"/>
  <c r="S100" i="1"/>
  <c r="U100" i="1" s="1"/>
  <c r="V100" i="1" s="1"/>
  <c r="S99" i="1"/>
  <c r="U99" i="1" s="1"/>
  <c r="V99" i="1" s="1"/>
  <c r="S98" i="1"/>
  <c r="U98" i="1" s="1"/>
  <c r="V98" i="1" s="1"/>
  <c r="S97" i="1"/>
  <c r="U97" i="1" s="1"/>
  <c r="V97" i="1" s="1"/>
  <c r="S95" i="1"/>
  <c r="U95" i="1" s="1"/>
  <c r="V95" i="1" s="1"/>
  <c r="S94" i="1"/>
  <c r="U94" i="1" s="1"/>
  <c r="V94" i="1" s="1"/>
  <c r="S93" i="1"/>
  <c r="U93" i="1" s="1"/>
  <c r="V93" i="1" s="1"/>
  <c r="S92" i="1"/>
  <c r="U92" i="1" s="1"/>
  <c r="V92" i="1" s="1"/>
  <c r="S91" i="1"/>
  <c r="U91" i="1" s="1"/>
  <c r="V91" i="1" s="1"/>
  <c r="S90" i="1"/>
  <c r="U90" i="1" s="1"/>
  <c r="V90" i="1" s="1"/>
  <c r="S89" i="1"/>
  <c r="U89" i="1" s="1"/>
  <c r="V89" i="1" s="1"/>
  <c r="S88" i="1"/>
  <c r="U88" i="1" s="1"/>
  <c r="V88" i="1" s="1"/>
  <c r="S87" i="1"/>
  <c r="U87" i="1" s="1"/>
  <c r="V87" i="1" s="1"/>
  <c r="S86" i="1"/>
  <c r="U86" i="1" s="1"/>
  <c r="V86" i="1" s="1"/>
  <c r="S85" i="1"/>
  <c r="U85" i="1" s="1"/>
  <c r="V85" i="1" s="1"/>
  <c r="S83" i="1"/>
  <c r="U83" i="1" s="1"/>
  <c r="V83" i="1" s="1"/>
  <c r="S82" i="1"/>
  <c r="U82" i="1" s="1"/>
  <c r="V82" i="1" s="1"/>
  <c r="S81" i="1"/>
  <c r="U81" i="1" s="1"/>
  <c r="V81" i="1" s="1"/>
  <c r="S80" i="1"/>
  <c r="U80" i="1" s="1"/>
  <c r="V80" i="1" s="1"/>
  <c r="S79" i="1"/>
  <c r="U79" i="1" s="1"/>
  <c r="V79" i="1" s="1"/>
  <c r="S78" i="1"/>
  <c r="U78" i="1" s="1"/>
  <c r="V78" i="1" s="1"/>
  <c r="U77" i="1"/>
  <c r="V77" i="1" s="1"/>
  <c r="S76" i="1"/>
  <c r="U76" i="1" s="1"/>
  <c r="V76" i="1" s="1"/>
  <c r="S75" i="1"/>
  <c r="U75" i="1" s="1"/>
  <c r="V75" i="1" s="1"/>
  <c r="S73" i="1"/>
  <c r="U73" i="1" s="1"/>
  <c r="V73" i="1" s="1"/>
  <c r="S72" i="1"/>
  <c r="U72" i="1" s="1"/>
  <c r="V72" i="1" s="1"/>
  <c r="S71" i="1"/>
  <c r="U71" i="1" s="1"/>
  <c r="V71" i="1" s="1"/>
  <c r="S70" i="1"/>
  <c r="U70" i="1" s="1"/>
  <c r="V70" i="1" s="1"/>
  <c r="S69" i="1"/>
  <c r="U69" i="1" s="1"/>
  <c r="V69" i="1" s="1"/>
  <c r="S68" i="1"/>
  <c r="U68" i="1" s="1"/>
  <c r="V68" i="1" s="1"/>
  <c r="S67" i="1"/>
  <c r="U67" i="1" s="1"/>
  <c r="V67" i="1" s="1"/>
  <c r="S66" i="1"/>
  <c r="U66" i="1" s="1"/>
  <c r="V66" i="1" s="1"/>
  <c r="S65" i="1"/>
  <c r="U65" i="1" s="1"/>
  <c r="V65" i="1" s="1"/>
  <c r="S64" i="1"/>
  <c r="U64" i="1" s="1"/>
  <c r="V64" i="1" s="1"/>
  <c r="S63" i="1"/>
  <c r="U63" i="1" s="1"/>
  <c r="V63" i="1" s="1"/>
  <c r="S62" i="1"/>
  <c r="U62" i="1" s="1"/>
  <c r="V62" i="1" s="1"/>
  <c r="S61" i="1"/>
  <c r="U61" i="1" s="1"/>
  <c r="V61" i="1" s="1"/>
  <c r="S60" i="1"/>
  <c r="U60" i="1" s="1"/>
  <c r="V60" i="1" s="1"/>
  <c r="S59" i="1"/>
  <c r="U59" i="1" s="1"/>
  <c r="V59" i="1" s="1"/>
  <c r="S58" i="1"/>
  <c r="U58" i="1" s="1"/>
  <c r="V58" i="1" s="1"/>
  <c r="S57" i="1"/>
  <c r="U57" i="1" s="1"/>
  <c r="V57" i="1" s="1"/>
  <c r="S50" i="1"/>
  <c r="U50" i="1" s="1"/>
  <c r="V50" i="1" s="1"/>
  <c r="S49" i="1"/>
  <c r="U49" i="1" s="1"/>
  <c r="V49" i="1" s="1"/>
  <c r="S48" i="1"/>
  <c r="U48" i="1" s="1"/>
  <c r="V48" i="1" s="1"/>
  <c r="S47" i="1"/>
  <c r="U47" i="1" s="1"/>
  <c r="V47" i="1" s="1"/>
  <c r="S46" i="1"/>
  <c r="U46" i="1" s="1"/>
  <c r="V46" i="1" s="1"/>
  <c r="S45" i="1"/>
  <c r="U45" i="1" s="1"/>
  <c r="V45" i="1" s="1"/>
  <c r="S38" i="1"/>
  <c r="U38" i="1" s="1"/>
  <c r="V38" i="1" s="1"/>
  <c r="S37" i="1"/>
  <c r="U37" i="1" s="1"/>
  <c r="V37" i="1" s="1"/>
  <c r="S36" i="1"/>
  <c r="U36" i="1" s="1"/>
  <c r="V36" i="1" s="1"/>
  <c r="S35" i="1"/>
  <c r="U35" i="1" s="1"/>
  <c r="V35" i="1" s="1"/>
  <c r="S34" i="1"/>
  <c r="U34" i="1" s="1"/>
  <c r="V34" i="1" s="1"/>
  <c r="S33" i="1"/>
  <c r="U33" i="1" s="1"/>
  <c r="V33" i="1" s="1"/>
  <c r="S32" i="1"/>
  <c r="U32" i="1" s="1"/>
  <c r="V32" i="1" s="1"/>
  <c r="S31" i="1"/>
  <c r="U31" i="1" s="1"/>
  <c r="V31" i="1" s="1"/>
  <c r="S30" i="1"/>
  <c r="U30" i="1" s="1"/>
  <c r="V30" i="1" s="1"/>
  <c r="S29" i="1"/>
  <c r="U29" i="1" s="1"/>
  <c r="V29" i="1" s="1"/>
  <c r="S28" i="1"/>
  <c r="U28" i="1" s="1"/>
  <c r="V28" i="1" s="1"/>
  <c r="S27" i="1"/>
  <c r="U27" i="1" s="1"/>
  <c r="V27" i="1" s="1"/>
  <c r="S26" i="1"/>
  <c r="U26" i="1" s="1"/>
  <c r="V26" i="1" s="1"/>
  <c r="S25" i="1"/>
  <c r="U25" i="1" s="1"/>
  <c r="V25" i="1" s="1"/>
  <c r="S24" i="1"/>
  <c r="U24" i="1" s="1"/>
  <c r="V24" i="1" s="1"/>
  <c r="S20" i="1"/>
  <c r="U20" i="1" s="1"/>
  <c r="V20" i="1" s="1"/>
  <c r="S19" i="1"/>
  <c r="U19" i="1" s="1"/>
  <c r="V19" i="1" s="1"/>
  <c r="S18" i="1"/>
  <c r="U18" i="1" s="1"/>
  <c r="V18" i="1" s="1"/>
  <c r="S17" i="1"/>
  <c r="U17" i="1" s="1"/>
  <c r="V17" i="1" s="1"/>
  <c r="S16" i="1"/>
  <c r="U16" i="1" s="1"/>
  <c r="V16" i="1" s="1"/>
  <c r="S15" i="1"/>
  <c r="U15" i="1" s="1"/>
  <c r="V15" i="1" s="1"/>
  <c r="S14" i="1"/>
  <c r="U14" i="1" s="1"/>
  <c r="V14" i="1" s="1"/>
  <c r="S13" i="1"/>
  <c r="U13" i="1" s="1"/>
  <c r="V13" i="1" s="1"/>
  <c r="S12" i="1"/>
  <c r="U12" i="1" s="1"/>
  <c r="V12" i="1" s="1"/>
  <c r="S11" i="1"/>
  <c r="U11" i="1" s="1"/>
  <c r="V11" i="1" s="1"/>
  <c r="S10" i="1"/>
  <c r="U10" i="1" s="1"/>
  <c r="V10" i="1" s="1"/>
  <c r="D29" i="4"/>
  <c r="D36" i="4"/>
  <c r="D28" i="4"/>
  <c r="D35" i="4"/>
  <c r="D27" i="4"/>
  <c r="D34" i="4"/>
  <c r="D26" i="4"/>
  <c r="D33" i="4"/>
  <c r="D32" i="4"/>
  <c r="D31" i="4"/>
  <c r="D30" i="4"/>
  <c r="G2" i="4" l="1"/>
  <c r="G3" i="4" s="1"/>
</calcChain>
</file>

<file path=xl/comments1.xml><?xml version="1.0" encoding="utf-8"?>
<comments xmlns="http://schemas.openxmlformats.org/spreadsheetml/2006/main">
  <authors>
    <author>Victor Rico</author>
    <author>Juan Esteban Morales Rojas</author>
  </authors>
  <commentList>
    <comment ref="I9" authorId="0" shapeId="0">
      <text>
        <r>
          <rPr>
            <b/>
            <sz val="9"/>
            <color indexed="81"/>
            <rFont val="Tahoma"/>
            <family val="2"/>
          </rPr>
          <t>Victor Rico:</t>
        </r>
        <r>
          <rPr>
            <sz val="9"/>
            <color indexed="81"/>
            <rFont val="Tahoma"/>
            <family val="2"/>
          </rPr>
          <t xml:space="preserve">
Eficiencia
La eficiencia se refiere a la capacidad de lograr un resultado deseado utilizando la menor cantidad de recursos posible. Implica optimizar procesos y maximizar la producción con el mínimo de insumos, tiempo o esfuerzo. Se mide a menudo en términos de relación entre los recursos utilizados y los resultados obtenidos.
Eficacia
La eficacia se centra en la capacidad de alcanzar los objetivos establecidos, sin considerar los recursos utilizados. Un objetivo es eficaz si se logra, independientemente de los medios empleados. Se trata de la medida del éxito en el cumplimiento de metas y propósitos.
Efectividad
La efectividad combina los conceptos de eficiencia y eficacia. Se refiere a la capacidad de no solo cumplir con los objetivos (eficacia), sino también de hacerlo de manera que se utilicen los recursos de forma óptima (eficiencia). La efectividad es, por lo tanto, una evaluación más holística del desempeño de un proceso o proyecto.</t>
        </r>
      </text>
    </comment>
    <comment ref="M12" authorId="1" shapeId="0">
      <text>
        <r>
          <rPr>
            <b/>
            <sz val="9"/>
            <color indexed="81"/>
            <rFont val="Tahoma"/>
            <charset val="1"/>
          </rPr>
          <t>La meta estaba en 1,3, la directora indica superarla a 1,5 ya que este producto ha tenido excelentes resultados.</t>
        </r>
      </text>
    </comment>
    <comment ref="M23" authorId="0" shapeId="0">
      <text>
        <r>
          <rPr>
            <b/>
            <sz val="9"/>
            <color indexed="81"/>
            <rFont val="Tahoma"/>
            <family val="2"/>
          </rPr>
          <t>Se calcula en segundos 1 minuto y 50 segundos</t>
        </r>
      </text>
    </comment>
  </commentList>
</comments>
</file>

<file path=xl/comments2.xml><?xml version="1.0" encoding="utf-8"?>
<comments xmlns="http://schemas.openxmlformats.org/spreadsheetml/2006/main">
  <authors>
    <author>Juan Morales</author>
  </authors>
  <commentList>
    <comment ref="A11" authorId="0" shapeId="0">
      <text>
        <r>
          <rPr>
            <b/>
            <sz val="9"/>
            <color indexed="81"/>
            <rFont val="Tahoma"/>
            <family val="2"/>
          </rPr>
          <t>Juan Morales:</t>
        </r>
        <r>
          <rPr>
            <sz val="9"/>
            <color indexed="81"/>
            <rFont val="Tahoma"/>
            <family val="2"/>
          </rPr>
          <t xml:space="preserve">
Agencia, formación, otros</t>
        </r>
      </text>
    </comment>
  </commentList>
</comments>
</file>

<file path=xl/comments3.xml><?xml version="1.0" encoding="utf-8"?>
<comments xmlns="http://schemas.openxmlformats.org/spreadsheetml/2006/main">
  <authors>
    <author>Juan Morales</author>
  </authors>
  <commentList>
    <comment ref="B4" authorId="0" shapeId="0">
      <text>
        <r>
          <rPr>
            <b/>
            <sz val="9"/>
            <color indexed="81"/>
            <rFont val="Tahoma"/>
            <family val="2"/>
          </rPr>
          <t>Juan Morales:</t>
        </r>
        <r>
          <rPr>
            <sz val="9"/>
            <color indexed="81"/>
            <rFont val="Tahoma"/>
            <family val="2"/>
          </rPr>
          <t xml:space="preserve">
Ingresos basados en facturación efectiva</t>
        </r>
      </text>
    </comment>
    <comment ref="E4" authorId="0" shapeId="0">
      <text>
        <r>
          <rPr>
            <b/>
            <sz val="9"/>
            <color indexed="81"/>
            <rFont val="Tahoma"/>
            <family val="2"/>
          </rPr>
          <t>Juan Morales:</t>
        </r>
        <r>
          <rPr>
            <sz val="9"/>
            <color indexed="81"/>
            <rFont val="Tahoma"/>
            <family val="2"/>
          </rPr>
          <t xml:space="preserve">
Ingresos basados en facturación efectiva</t>
        </r>
      </text>
    </comment>
    <comment ref="H4" authorId="0" shapeId="0">
      <text>
        <r>
          <rPr>
            <b/>
            <sz val="9"/>
            <color indexed="81"/>
            <rFont val="Tahoma"/>
            <family val="2"/>
          </rPr>
          <t>Juan Morales:</t>
        </r>
        <r>
          <rPr>
            <sz val="9"/>
            <color indexed="81"/>
            <rFont val="Tahoma"/>
            <family val="2"/>
          </rPr>
          <t xml:space="preserve">
Ingresos basados en facturación efectiva</t>
        </r>
      </text>
    </comment>
    <comment ref="I4" authorId="0" shapeId="0">
      <text>
        <r>
          <rPr>
            <b/>
            <sz val="9"/>
            <color indexed="81"/>
            <rFont val="Tahoma"/>
            <family val="2"/>
          </rPr>
          <t>Juan Morales:</t>
        </r>
        <r>
          <rPr>
            <sz val="9"/>
            <color indexed="81"/>
            <rFont val="Tahoma"/>
            <family val="2"/>
          </rPr>
          <t xml:space="preserve">
Ingresos basados en facturación efectiva</t>
        </r>
      </text>
    </comment>
    <comment ref="K4" authorId="0" shapeId="0">
      <text>
        <r>
          <rPr>
            <b/>
            <sz val="9"/>
            <color indexed="81"/>
            <rFont val="Tahoma"/>
            <family val="2"/>
          </rPr>
          <t>Juan Morales:</t>
        </r>
        <r>
          <rPr>
            <sz val="9"/>
            <color indexed="81"/>
            <rFont val="Tahoma"/>
            <family val="2"/>
          </rPr>
          <t xml:space="preserve">
Ingresos basados en facturación efectiva</t>
        </r>
      </text>
    </comment>
    <comment ref="A8" authorId="0" shapeId="0">
      <text>
        <r>
          <rPr>
            <b/>
            <sz val="9"/>
            <color indexed="81"/>
            <rFont val="Tahoma"/>
            <family val="2"/>
          </rPr>
          <t>Juan Morales:</t>
        </r>
        <r>
          <rPr>
            <sz val="9"/>
            <color indexed="81"/>
            <rFont val="Tahoma"/>
            <family val="2"/>
          </rPr>
          <t xml:space="preserve">
Agencia, formación, otros</t>
        </r>
      </text>
    </comment>
  </commentList>
</comments>
</file>

<file path=xl/sharedStrings.xml><?xml version="1.0" encoding="utf-8"?>
<sst xmlns="http://schemas.openxmlformats.org/spreadsheetml/2006/main" count="1401" uniqueCount="359">
  <si>
    <t>ELABORACIÓN Y SEGUIMIENTO DEL PLAN DE ACCIÓN</t>
  </si>
  <si>
    <t>FORMULACIÓN</t>
  </si>
  <si>
    <t>SEGUIMIENTO</t>
  </si>
  <si>
    <t>ANÁLISIS</t>
  </si>
  <si>
    <t>DIMENSIÓN PLAN DE DESARROLLO ALCALDÍA DE MEDELLÍN</t>
  </si>
  <si>
    <t xml:space="preserve">OBJETIVO ESTRATÉGICO </t>
  </si>
  <si>
    <t>LÍNEA ESTRATÉGICA</t>
  </si>
  <si>
    <t>PONDERACIÓN</t>
  </si>
  <si>
    <t>RESPONSABLE</t>
  </si>
  <si>
    <t>Valor alcanzado 1° trimestre</t>
  </si>
  <si>
    <t>Valor alcanzado 2° trimestre</t>
  </si>
  <si>
    <t>Valor alcanzado 3° trimestre</t>
  </si>
  <si>
    <t>Valor alcanzado 4° trimestre</t>
  </si>
  <si>
    <t>Porcentaje alcanzado de la meta</t>
  </si>
  <si>
    <t>Análisis 1° trimestre</t>
  </si>
  <si>
    <t>Análisis 2° trimestre</t>
  </si>
  <si>
    <t>Análisis 3° trimestre</t>
  </si>
  <si>
    <t>Análisis 4° trimestre</t>
  </si>
  <si>
    <t>Nombre indicador</t>
  </si>
  <si>
    <t>Objetivo del indicador</t>
  </si>
  <si>
    <t>Mide</t>
  </si>
  <si>
    <t>Fórmula</t>
  </si>
  <si>
    <t>Periodicidad</t>
  </si>
  <si>
    <t>Meta</t>
  </si>
  <si>
    <t>Informe de gestión</t>
  </si>
  <si>
    <t>Rendir ante la comunidad y el público general interesado la información de las diferentes acciones y manejos que se han realizado de la entidad.</t>
  </si>
  <si>
    <t>Cantidad de informes de gestión presentados a la ciudadanía</t>
  </si>
  <si>
    <t>Trimestral</t>
  </si>
  <si>
    <t>CÓDIGO: FT-PE-GE-02
VERSIÓN: 05
FECHA: 01/03/2021</t>
  </si>
  <si>
    <t>INS / Identificación</t>
  </si>
  <si>
    <t>3.4.6-COMUNICACIÓN PÚBLICA PARA EL FORTALECIMIENTO DE LA INSTITUCIONALIDAD Y LA CONFIANZA CIUDADANA</t>
  </si>
  <si>
    <t>EN TM NOS VEMOS Y NOS ESCUCHAMOS</t>
  </si>
  <si>
    <t>EN TM NOS CONECTAMOS</t>
  </si>
  <si>
    <t>EN TM NOS CONOCEMOS</t>
  </si>
  <si>
    <t>EN TM NOS TRANSFORMAMOS</t>
  </si>
  <si>
    <t>EN TM NOS PROYECTAMOS</t>
  </si>
  <si>
    <t>EN TM NOS CUIDAMOS</t>
  </si>
  <si>
    <t>EN TM NOS POTENCIAMOS</t>
  </si>
  <si>
    <t>Dirección de Contenidos y Distribución</t>
  </si>
  <si>
    <t>Dirección de Contenidos y Distribución (Digital)</t>
  </si>
  <si>
    <t>Dirección de Relaciones Corporativas</t>
  </si>
  <si>
    <t>Dirección de Tecnología e Innovación</t>
  </si>
  <si>
    <t>Dirección Administrativa y Financiera</t>
  </si>
  <si>
    <t>Jefatura de Gestión Humana</t>
  </si>
  <si>
    <t>Agencia TM</t>
  </si>
  <si>
    <t>Control Interno</t>
  </si>
  <si>
    <t>Planeación</t>
  </si>
  <si>
    <t>Producción</t>
  </si>
  <si>
    <t>Secretaría General</t>
  </si>
  <si>
    <t>Ranking encuesta “Cómo se informan los líderes”</t>
  </si>
  <si>
    <t>Evaluar la posición ranking del departamento Antioquia: Medios regionales de mayor influencia</t>
  </si>
  <si>
    <t>Porcentaje en la encuesta “Cómo se informan los líderes”</t>
  </si>
  <si>
    <t>Evaluar la posición porcentual Antioquia: Medios regionales de mayor influencia</t>
  </si>
  <si>
    <t>Rating promedio Sistema informativo</t>
  </si>
  <si>
    <t>Evaluar el rating promedio 20 emisiones estreno más vistas del Sistema Informativo en Antioquia</t>
  </si>
  <si>
    <t>Horas estreno franja informativa</t>
  </si>
  <si>
    <t>Emitir horas estreno programas franja Informativa, Opinión, Investigación</t>
  </si>
  <si>
    <t>Rating promedio franja Cultura Ciudadana, Deporte y Entretenimiento.</t>
  </si>
  <si>
    <t>Evaluar el rating promedio de las 20 emisiones más vistas de los programas que componen la franja Cultura Ciudadana, Deporte y Entretenimiento.</t>
  </si>
  <si>
    <t>Horas estreno franja Cultura Ciudadana, Deporte y Entretenimiento.</t>
  </si>
  <si>
    <t>Emitir horas estreno programas propios que componen la franja Cultura Ciudadana, Deporte y Entretenimiento.</t>
  </si>
  <si>
    <t>Horas estreno franja Comunicación Pública.</t>
  </si>
  <si>
    <t>Emitir horas estreno de programas que componen franja Comunicación Pública.</t>
  </si>
  <si>
    <t>Alianzas Internacionales para intercambio de contenidos</t>
  </si>
  <si>
    <t>Medir las alianzas Internacionales para intercambio de contenidos producidos por Telemedellín.</t>
  </si>
  <si>
    <t>Galardones</t>
  </si>
  <si>
    <t>Medir los Galardones obtenidos. (Galardones obtenidos con producciones propias y/o coproducción)</t>
  </si>
  <si>
    <t>Horas franja laboratorio de Videopodcast Podcast</t>
  </si>
  <si>
    <t>Emitir horas en la franja laboratorio de Videopodcast Podcast y Videopodcast producidos en Telemedellín</t>
  </si>
  <si>
    <t>Proyectos Podcast y Videopodcast</t>
  </si>
  <si>
    <t>Medir los proyectos Podcast y Videopodcast producidos en Telemedellín</t>
  </si>
  <si>
    <t>Engagement redes sociales</t>
  </si>
  <si>
    <t>Medir el engagement de las diferentes redes sociales</t>
  </si>
  <si>
    <t>Seguidores comunidad digital</t>
  </si>
  <si>
    <t>Medir los seguidores en nuestra comunidad digital</t>
  </si>
  <si>
    <t>Tiempo de permanencia en la web</t>
  </si>
  <si>
    <t>Medir el tiempo de permanencia en la página web  de Telemedellín</t>
  </si>
  <si>
    <t>Sesiones en la página web</t>
  </si>
  <si>
    <t>Medir las sesiones en la página web</t>
  </si>
  <si>
    <t xml:space="preserve">Plataformas de contenido </t>
  </si>
  <si>
    <t>Medir la cantidad de nuevas plataformas para podcast y contenido transmedia</t>
  </si>
  <si>
    <t>Ingresos por plataformas digitales</t>
  </si>
  <si>
    <t>Medir los ingresos económicos por plataformas digitales</t>
  </si>
  <si>
    <t xml:space="preserve">Evaluación de imagen de Telemedellín  </t>
  </si>
  <si>
    <t>Evaluar de percepción de favorabilidad de imagen de Telemedellín</t>
  </si>
  <si>
    <t>Embajadores de marca</t>
  </si>
  <si>
    <t xml:space="preserve">Evaluar la Participación de líderes de opinión en tácticas de relacionamiento. </t>
  </si>
  <si>
    <t>Visitantes Tour Telemedellín</t>
  </si>
  <si>
    <t>Medir el número de visitantes al Tour Telemedellín</t>
  </si>
  <si>
    <t>Experiencias temáticas en el parque Telemedellín</t>
  </si>
  <si>
    <t>Medir el numero de eventos propios realizados en el parque.</t>
  </si>
  <si>
    <t>Inversión en actualización tecnológica</t>
  </si>
  <si>
    <t>Medir la inversión económica en actualización tecnológica</t>
  </si>
  <si>
    <t>Proyectos 4RI</t>
  </si>
  <si>
    <t>Medir los proyectos que involucren los componentes de la cuarta revolución industrial.</t>
  </si>
  <si>
    <t>Horas en el satélite</t>
  </si>
  <si>
    <t>Emitir horas en el satélite</t>
  </si>
  <si>
    <t>Proyectos ejecutados de transformación digital</t>
  </si>
  <si>
    <t>Medir los proyectos ejecutados de transformación digital</t>
  </si>
  <si>
    <t>Talleres realizados TM Academy</t>
  </si>
  <si>
    <t>Medir los talleres realizados.</t>
  </si>
  <si>
    <t>Medir los asistentes actividades TM Academy.</t>
  </si>
  <si>
    <t>Contenidos producidos de TM Academy</t>
  </si>
  <si>
    <t xml:space="preserve">Medir los contenidos audiovisuales TM Academy. </t>
  </si>
  <si>
    <t>Sostenibilidad y Compromiso Social TM</t>
  </si>
  <si>
    <t>Medir las actividades de sostenibilidad y compromiso social</t>
  </si>
  <si>
    <t>Satisfacción colaboradores de Telemedellín</t>
  </si>
  <si>
    <t>Medir la satisfacción colaboradores de Telemedellín</t>
  </si>
  <si>
    <t>Personas impactadas en ruta de la felicidad</t>
  </si>
  <si>
    <t>Medir las personas impactadas con las actividades realizadas</t>
  </si>
  <si>
    <t>Practicantes</t>
  </si>
  <si>
    <t>Medir la contratación practicantes</t>
  </si>
  <si>
    <t>Utilidad antes de impuesto</t>
  </si>
  <si>
    <t>Evaluar la utilidad antes de impuesto</t>
  </si>
  <si>
    <t>Margen utilidad bruta</t>
  </si>
  <si>
    <t>Evaluar el margen utilidad bruta</t>
  </si>
  <si>
    <t>Gastos de funcionamiento</t>
  </si>
  <si>
    <t>Evaluar la ejecución de gastos de funcionamiento</t>
  </si>
  <si>
    <t>Ejecución de ingresos</t>
  </si>
  <si>
    <t>Medir la ejecución de ingresos</t>
  </si>
  <si>
    <t>Ejecución de egresos</t>
  </si>
  <si>
    <t>Medir la ejecución de egresos</t>
  </si>
  <si>
    <t>Ejecución de la inversión</t>
  </si>
  <si>
    <t>Medir la ejecución de la inversión</t>
  </si>
  <si>
    <t>Ingresos por contratos</t>
  </si>
  <si>
    <t>Medir los ingresos por contratos efectivos de cada vigencia</t>
  </si>
  <si>
    <t>Clientes satisfechos</t>
  </si>
  <si>
    <t xml:space="preserve">Nuevos productos y experiencias  </t>
  </si>
  <si>
    <t xml:space="preserve">Desarrollar nuevos productos y experiencias  </t>
  </si>
  <si>
    <t>Indice de satisfacción Cliente interno</t>
  </si>
  <si>
    <t>Medir la satisfacción clientes internos</t>
  </si>
  <si>
    <t>Mapa de riesgos</t>
  </si>
  <si>
    <t>Revisar y/o actualizar los mapas de riesgos del área</t>
  </si>
  <si>
    <t>Actividades FURAG - MIPG</t>
  </si>
  <si>
    <t>Evaluar la ejecución actividades planeadas en Furag y MIPG</t>
  </si>
  <si>
    <t>Auditorías control interno</t>
  </si>
  <si>
    <t>Medir la elaboración y entrega de informes de auditorías, por el sistema de Control Interno a Telemedellín.</t>
  </si>
  <si>
    <t>Cumplimiento en el desarrollo del plan de trabajo de la OCI</t>
  </si>
  <si>
    <t>Realizar todas las actividades programadas en el plan para el año</t>
  </si>
  <si>
    <t>Revisar y/o actualizar los mapas de riesgos de Telemedellín</t>
  </si>
  <si>
    <t>Plan Anticorrupción</t>
  </si>
  <si>
    <t>Realizar seguimiento al plan de anticorrupción de Telemedellín</t>
  </si>
  <si>
    <t>Cumplimiento PINAR</t>
  </si>
  <si>
    <t>Medir el cumplimiento del PINAR</t>
  </si>
  <si>
    <t>Flujo de tesorería mensualizado</t>
  </si>
  <si>
    <t>Generar los flujos de tesorería mensualizado</t>
  </si>
  <si>
    <t>Informe de costos</t>
  </si>
  <si>
    <t>Generar informe mensual de costos</t>
  </si>
  <si>
    <t>Plan de mantenimientos Sede</t>
  </si>
  <si>
    <t>Informes de difusión de políticas del plan de desarrollo distrital en Telemedellín</t>
  </si>
  <si>
    <t>Difundir las políticas del plan de desarrollo distrital</t>
  </si>
  <si>
    <t>Manuales de estilo</t>
  </si>
  <si>
    <t>Construir los manuales de estilo para programas producidos por Telemedellín</t>
  </si>
  <si>
    <t>Difusión de políticas institucionales</t>
  </si>
  <si>
    <t>Gestión Free press Telemedellín</t>
  </si>
  <si>
    <t>Gestionar FreePress comunicacional de Telemedellín</t>
  </si>
  <si>
    <t>Rendición pública de cuentas</t>
  </si>
  <si>
    <t>Gobierno digital</t>
  </si>
  <si>
    <t>Medir  el alcance de resultados de Gobierno Digital en Furag</t>
  </si>
  <si>
    <t>Mantenimiento a equipos</t>
  </si>
  <si>
    <t>Medir la eficiencia en la gestión de los mantenimientos preventivos y correctivos solicitados</t>
  </si>
  <si>
    <t>Capacitación en habilidades blandas</t>
  </si>
  <si>
    <t>Lograr que cada colaborador participe en mínimo dos charlas en el año</t>
  </si>
  <si>
    <t>Cumplimiento del Plan de Bienestar Laboral</t>
  </si>
  <si>
    <t>Medir las actividades de bienestar laboral.</t>
  </si>
  <si>
    <t>Cumplimiento del plan de capacitación</t>
  </si>
  <si>
    <t>Medir las actividades del Plan de formación y capacitación</t>
  </si>
  <si>
    <t>Cumplimiento del plan de seguridad y salud en el trabajo</t>
  </si>
  <si>
    <t>Realizar seguimiento al Sistema de Gestión de Seguridad y salud en el trabajo.</t>
  </si>
  <si>
    <t>Inducción y reinducción</t>
  </si>
  <si>
    <t>Realizar ejercicios de inducción o reinduccióna los colaboradores del canal</t>
  </si>
  <si>
    <t>Medir el % personas con procesos de inducción</t>
  </si>
  <si>
    <t>Tiquetera emocional</t>
  </si>
  <si>
    <t>Avance implementación MIPG</t>
  </si>
  <si>
    <t>Evaluar la implementación y seguimiento del MIPG</t>
  </si>
  <si>
    <t xml:space="preserve">Evaluación FURAG </t>
  </si>
  <si>
    <t>Obtener una alta calificación en el Formulario Único (FURAG)</t>
  </si>
  <si>
    <t>Generar el documento Informe de gestión Telemedellín</t>
  </si>
  <si>
    <t>Defensa juidicial</t>
  </si>
  <si>
    <t xml:space="preserve">Intervenir en el 100% de procesos judiciales y extrajudiciales en los que intervenga el canal </t>
  </si>
  <si>
    <t>PQRSD</t>
  </si>
  <si>
    <t>Medir las PQRSD respondidas en terminos de ley</t>
  </si>
  <si>
    <t>Generar y publicar informes de PQRSD</t>
  </si>
  <si>
    <t>Ranking en la encuesta “Cómo se informan los líderes”</t>
  </si>
  <si>
    <t>Promedio de las 20 emisiones más vistas del Sistema Informativo en Antioquia.</t>
  </si>
  <si>
    <t>Sumatoria horas estreno franja informativa</t>
  </si>
  <si>
    <t>Promedio de las 20 emisiones más vistas de la franja en Antioquia</t>
  </si>
  <si>
    <t>Sumatoria de horas que componen los programas de la franja</t>
  </si>
  <si>
    <t>Sumatoria de horas en parrilla de los programas que componen la franja</t>
  </si>
  <si>
    <t>Cantidad de contenidos compartidos</t>
  </si>
  <si>
    <t>Sumatoria de galardones en eventos locales, nacionales e internacionales</t>
  </si>
  <si>
    <t>Sumatoria de horas emitidas en la franja semanal</t>
  </si>
  <si>
    <t>∑(seguidores de red n x engagement de red n) / ∑seguidores de las redes</t>
  </si>
  <si>
    <t>Sumatoria de todos los seguidores y suscriptores de las redes sociales</t>
  </si>
  <si>
    <t>Promedio de tiempo de permanencia en la página</t>
  </si>
  <si>
    <t>Sumatoria de todos los visitantes en los canales de tráfico al portal</t>
  </si>
  <si>
    <t>Cantidad de nuevas plataformas para podcast y contenido transmedia</t>
  </si>
  <si>
    <t>Sumatoria de la monetización de todas las redes y plataformas del Canal (En dolares USD)</t>
  </si>
  <si>
    <t>Evaluación de percepción de favorabilidad de imagen de Telemedellín</t>
  </si>
  <si>
    <t>Sumatoria de participantes en la estrategia embajadores de marca</t>
  </si>
  <si>
    <t>Sumatoria de visitantes anuales al Tour Telemedellín.</t>
  </si>
  <si>
    <t>Sumatoria de eventos propios realizados en el Parque</t>
  </si>
  <si>
    <t>Sumatoria inversión económica en actualización tecnológica</t>
  </si>
  <si>
    <t>Proyectos que involucren los componentes de la cuarta revolución industrial</t>
  </si>
  <si>
    <t>Sumatoria de horas al aíre en el satélite</t>
  </si>
  <si>
    <t>Sumatoria de talleres realizados</t>
  </si>
  <si>
    <t>Sumatoria de personas asistentes a las actividades</t>
  </si>
  <si>
    <t>Sumatoria de contenidos audiovisuales realizados</t>
  </si>
  <si>
    <t>Sumatoria de actividades de sostenibilidad y compromiso social</t>
  </si>
  <si>
    <t>% de satisfacción global</t>
  </si>
  <si>
    <t>Resultado de la utilidad antes de impuesto</t>
  </si>
  <si>
    <t>(Utilidad operacional / Ingresos netos) x 100%</t>
  </si>
  <si>
    <t>(Gastos/ Ingresos netos) x 100%</t>
  </si>
  <si>
    <t>(Ingresos ejecutados / Ingresos presupuestados) x 100%</t>
  </si>
  <si>
    <t>(Egresos ejecutados / egresos presupuestados) x 100%</t>
  </si>
  <si>
    <t>(Egresos ejecutados de inversión / egresos presupuestados de inversión) x 100%</t>
  </si>
  <si>
    <t>(Clientes satisfechos / Clientes encuestados) x 100%</t>
  </si>
  <si>
    <t>Sumatoria de nuevos servicios y experiencias desarrollados y operando</t>
  </si>
  <si>
    <t>(Ingresos/(costos más gastos) -1) * 100%</t>
  </si>
  <si>
    <t>% de satisfacción por dependencia</t>
  </si>
  <si>
    <t>Mapas de riesgos revisado y/o actualizados</t>
  </si>
  <si>
    <t xml:space="preserve"># Actividades realizadas/# Actividades planeadas </t>
  </si>
  <si>
    <t># de auditorías realizadas / # auditorias programadas</t>
  </si>
  <si>
    <t>Actividades Terminadas / Actividades Programadas</t>
  </si>
  <si>
    <t># de mapas de riesgos revisados/ # de mapas de riesgos existentes</t>
  </si>
  <si>
    <t># Flujos de tesorería / 12 meses</t>
  </si>
  <si>
    <t>Presentar 12 informes en el año</t>
  </si>
  <si>
    <t># Informes de difusión de políticas.</t>
  </si>
  <si>
    <t>Cantidad de informes de gestión expuestos a la ciudadanía</t>
  </si>
  <si>
    <t>% obtenido en calificación Furag en gobierno digital</t>
  </si>
  <si>
    <t>Casos cerrados/casos solicitados</t>
  </si>
  <si>
    <t>Asistencia a capacitaciones de habilidades blandas</t>
  </si>
  <si>
    <t># de actividades del plan de bienestar laboral ejecutadas / # de actividades del plan de bienestar laboral programadas</t>
  </si>
  <si>
    <t># de capacitaciones ejecutadas / # de capacitaciones programadas</t>
  </si>
  <si>
    <t># de actividades del plan de seguridad y salud en el trabajo ejecutadas / # de actividades del plan de seguridad y salud en el trabajo programadas</t>
  </si>
  <si>
    <t># Ejercicios de inducción o reinducción</t>
  </si>
  <si>
    <t># personas con inducción / # personas nuevos ingresos al canal.</t>
  </si>
  <si>
    <t>Implementaciones ejecutadas / Implementaciones proyectadas X 100%</t>
  </si>
  <si>
    <t>Calificación institucional en el FURAG</t>
  </si>
  <si>
    <t xml:space="preserve">Procesos judiciales y extrajudiciales efectivamente atendidos / actuaciones judiciales y extrajudiciales notificados </t>
  </si>
  <si>
    <t># de PQRS respondidas a tiempo 
 / # PQRS recibidas</t>
  </si>
  <si>
    <t>Numero de informes PQRSD publicados</t>
  </si>
  <si>
    <t>&gt;0</t>
  </si>
  <si>
    <t>&gt;90%</t>
  </si>
  <si>
    <t>Ayuda del  Cálculo</t>
  </si>
  <si>
    <t>Valor alcanzado en cada trimestre. Si no se evaluó, es cero "0"</t>
  </si>
  <si>
    <t>Valor ACUMULADO en el trimestre de evaluación.</t>
  </si>
  <si>
    <t>Mínimo</t>
  </si>
  <si>
    <t>Máximo</t>
  </si>
  <si>
    <t>Acumulado</t>
  </si>
  <si>
    <t>Suma</t>
  </si>
  <si>
    <t>Final año</t>
  </si>
  <si>
    <t>Promedio</t>
  </si>
  <si>
    <t>Categoría Interna</t>
  </si>
  <si>
    <t>PEI</t>
  </si>
  <si>
    <t>Eficacia</t>
  </si>
  <si>
    <t>Eficiencia</t>
  </si>
  <si>
    <t>Efectividad</t>
  </si>
  <si>
    <t>Etiquetas de fila</t>
  </si>
  <si>
    <t>Total general</t>
  </si>
  <si>
    <t>ADMINISTRAR Y OPTIMIZAR EFICIENTEMENTE LOS RECURSOS FINANCIEROS</t>
  </si>
  <si>
    <t>AUMENTAR EL NIVEL DE DESEMPEÑO INDIVIDUAL Y COLECTIVO</t>
  </si>
  <si>
    <t>ELEVAR EL NIVEL DE COMPETITIVIDAD Y POSICIONAMIENTO DEL CANAL</t>
  </si>
  <si>
    <t>ELEVAR LA CAPACIDAD DE INNOVACIÓN, CALIDAD TÉCNICA Y AUDIOVISUAL</t>
  </si>
  <si>
    <t>INCREMENTAR EL NIVEL DE EFICIENCIA Y EFICACIA ADMINISTRATIVA Y OPERATIVA</t>
  </si>
  <si>
    <t>REALIZAR ALIANZAS ESTRATÉGICAS CON LA ALCADÍA Y SUS ENTES DESCENTRALIZADOS</t>
  </si>
  <si>
    <t>Suma de PONDERACIÓN</t>
  </si>
  <si>
    <t>Sumatoria de contenidos producidos</t>
  </si>
  <si>
    <t>RESPONSABLE: Gerencia Telemedellín</t>
  </si>
  <si>
    <t>PROCESO: Direccionamiento estratégico.</t>
  </si>
  <si>
    <t>METAS</t>
  </si>
  <si>
    <t>OBJETIVOS ESTRATEGICOS TELEMEDELLÍN</t>
  </si>
  <si>
    <t>LINEAS DEL PLAN ESTRATÉGICO DE TELEMEDELLÍN (PEI)</t>
  </si>
  <si>
    <t>Total alcanzado ponderado</t>
  </si>
  <si>
    <t>Meta alcalzada</t>
  </si>
  <si>
    <t>Por alcanzar</t>
  </si>
  <si>
    <t>Suma de Total alcanzado ponderado</t>
  </si>
  <si>
    <t>Valor máximo alcanzado en los trimestres de evaluación.</t>
  </si>
  <si>
    <t>Asistentes Talleres TM Academy</t>
  </si>
  <si>
    <t>&lt;25%</t>
  </si>
  <si>
    <t>Valoración del Freepress</t>
  </si>
  <si>
    <t># Seguimientos al PTEP</t>
  </si>
  <si>
    <t>Realizar seguimiento al Programa de Transparencia y Ética Pública (PTEP) de Telemedellín</t>
  </si>
  <si>
    <t>Ejecutar plan de mantenimiento Anualizado</t>
  </si>
  <si>
    <t xml:space="preserve">Medir la satisfacción de clientes de negocios y experiencias
</t>
  </si>
  <si>
    <t>Plan de acción</t>
  </si>
  <si>
    <t>Plan de Acción</t>
  </si>
  <si>
    <t>CENTRAL DE MEDIOS</t>
  </si>
  <si>
    <t>CONTRATOS</t>
  </si>
  <si>
    <t>ANÁLISIS UTILIDAD AGENCIA TM</t>
  </si>
  <si>
    <t>INCENTIVOS PUBLICITARIOS</t>
  </si>
  <si>
    <t>META</t>
  </si>
  <si>
    <t>COMPONENTE</t>
  </si>
  <si>
    <t>PROYECCIÓN</t>
  </si>
  <si>
    <t>PROYECTOS COMERCIALES</t>
  </si>
  <si>
    <t>PROYECCIÓN UTILIDAD</t>
  </si>
  <si>
    <t>MARGEN</t>
  </si>
  <si>
    <t>ALQUILER ESPACIOS (EXP)</t>
  </si>
  <si>
    <t>NEGOCIOS AUDIOVISUALES</t>
  </si>
  <si>
    <t>SERVICIOS AUDIOVISUALES</t>
  </si>
  <si>
    <t>PAUTA EN TM</t>
  </si>
  <si>
    <t>ESTE MARGEN SE VERÍA AFECTADO POR COSTOS PROPIOS DEL CANAL</t>
  </si>
  <si>
    <t>INGRESO</t>
  </si>
  <si>
    <t xml:space="preserve">COSTO Y GASTOS </t>
  </si>
  <si>
    <t>PRIMER TRIMESTRE</t>
  </si>
  <si>
    <t>SEGUNDO TRIMESTRE</t>
  </si>
  <si>
    <t>TERCER TRIMESTRE</t>
  </si>
  <si>
    <t>CUARTO TRIMESTRE</t>
  </si>
  <si>
    <t>CONTRATOS ADMON DELEGADA</t>
  </si>
  <si>
    <t>CÁLCULO DE MARGEN DE UTILIDAD AGENCIA TM</t>
  </si>
  <si>
    <t>INGRESOS FACTURADOS</t>
  </si>
  <si>
    <t>Ingresos por línea de incentivos publicitarios</t>
  </si>
  <si>
    <t>Medir los ingresos efectivos por la línea de agencia - Contratos administración Delegada</t>
  </si>
  <si>
    <t>Medir los ingresos efectivos por la línea de incentivos publicitarios</t>
  </si>
  <si>
    <t>Medir los ingresos efectivos por la línea de alquiler de espacios</t>
  </si>
  <si>
    <t>Ingresos por línea de servicios audiovisuales</t>
  </si>
  <si>
    <t>Medir los ingresos efectivos por la línea de servicios audiovisuales</t>
  </si>
  <si>
    <t>Medir los ingresos efectivos por la línea de pauta emitida a clientes</t>
  </si>
  <si>
    <t>Sumatoria de los ingresos  por contratos efectivos  línea de agencia cada vigencia (Facturados)</t>
  </si>
  <si>
    <t>Sumatoria de los ingresos por línea incentivos publicitarios cada vigencia (Facturados)</t>
  </si>
  <si>
    <t>Sumatoria de los ingresos por línea de servicios audiovisuales  (Facturados)</t>
  </si>
  <si>
    <t>Ingresos por línea de pauta comercial emitida a clientes</t>
  </si>
  <si>
    <t>Sumatoria de los ingresos por línea de pauta comercial  (Facturados)</t>
  </si>
  <si>
    <t xml:space="preserve">Evaluar la utilidad neta de negocios y experiencias TM
</t>
  </si>
  <si>
    <t>Sumatoria de los ingresos por contratos cada vigencia (Firmados)</t>
  </si>
  <si>
    <t>Ingresos por línea alquiler de espacios y experiencias propias</t>
  </si>
  <si>
    <t>Ingresos por línea de Agencia -Central de Medios (Administración delegada)</t>
  </si>
  <si>
    <t>Sumatoria de los ingresos por línea de alquiler de espacios y experiencias propias (Facturados)</t>
  </si>
  <si>
    <t>Utilidad general Agencia y central de medios</t>
  </si>
  <si>
    <t>AÑO:  2026</t>
  </si>
  <si>
    <t>RESULTADO 2026</t>
  </si>
  <si>
    <t>Actividades del plan anticorrupción ejecutadas / Actividades proyectadas x 100%</t>
  </si>
  <si>
    <t>Implementar y promover el uso de la tiquetera emocional para los colaboradores</t>
  </si>
  <si>
    <t xml:space="preserve"> Uso de la tiquetera emocional mayor o igual a 200 en el año</t>
  </si>
  <si>
    <t>&gt;28%</t>
  </si>
  <si>
    <t>&gt;98%</t>
  </si>
  <si>
    <t>Usuarios de eventos satisfechos</t>
  </si>
  <si>
    <t xml:space="preserve">Medir la satisfacción de los usuarios asistentes a los eventos de Telemedellín
</t>
  </si>
  <si>
    <t>(Usuarios satisfechos / Usuarios encuestados) x 100%</t>
  </si>
  <si>
    <t>Medir la ejecución de campañas internas de comunicación institucional.</t>
  </si>
  <si>
    <t>Cantidad de campañas difundidas</t>
  </si>
  <si>
    <t>Canjes y Alianzas</t>
  </si>
  <si>
    <t>Medir la gestión de canjes y alianzas ejecutadas</t>
  </si>
  <si>
    <t>Sumatoria de Canjes y/o alianzas ejecutadas</t>
  </si>
  <si>
    <t>(# de practicantes contratados/sobre # de vacante para practicantes) x 100%</t>
  </si>
  <si>
    <t># de seguimientos a planes de mejoramiento vigentes</t>
  </si>
  <si>
    <t>(# de mantenimientos ejecutados / # mantenimientos programados)*100%</t>
  </si>
  <si>
    <t>(# manuales de estilo / # programas producidos en la vigencia)*100%</t>
  </si>
  <si>
    <t>&gt;=200</t>
  </si>
  <si>
    <t>Suministro servicios de producción</t>
  </si>
  <si>
    <t>Medir la eficacia en el suministro de los servicios de producción</t>
  </si>
  <si>
    <t>(# de solicitudes atendidas / Total de solicitudes válidas recibidas) x 100%</t>
  </si>
  <si>
    <t xml:space="preserve">Asegurar el cumplimiento de la obligación de publicación contratual en SECOP </t>
  </si>
  <si>
    <t>(# de contratos cargados al SECOP / # Contratos solicitados) x 100%</t>
  </si>
  <si>
    <t>Cumplimiento en la publicación contractual SECOP</t>
  </si>
  <si>
    <t xml:space="preserve">Seguimientos a planes de mejoramiento </t>
  </si>
  <si>
    <t>Revisar los informes de seguimientos a planes de mejoramiento</t>
  </si>
  <si>
    <t>LOGRO 1T- 25</t>
  </si>
  <si>
    <t>(Sumatoria de colaboradores que participaron en actividades de bienestar/# de colaboradores totales) x 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</si>
</sst>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0.0%"/>
    <numFmt numFmtId="165" formatCode="_(&quot;$&quot;\ * #,##0.00_);_(&quot;$&quot;\ * \(#,##0.00\);_(&quot;$&quot;\ * &quot;-&quot;??_);_(@_)"/>
    <numFmt numFmtId="166" formatCode="_(&quot;$&quot;\ * #,##0_);_(&quot;$&quot;\ * \(#,##0\);_(&quot;$&quot;\ * &quot;-&quot;??_);_(@_)"/>
    <numFmt numFmtId="167" formatCode="_-* #,##0_-;\-* #,##0_-;_-* &quot;-&quot;??_-;_-@_-"/>
    <numFmt numFmtId="168" formatCode="_-&quot;$&quot;\ * #,##0_-;\-&quot;$&quot;\ * #,##0_-;_-&quot;$&quot;\ * &quot;-&quot;??_-;_-@_-"/>
    <numFmt numFmtId="169" formatCode="_-* #,##0.0_-;\-* #,##0.0_-;_-* &quot;-&quot;??_-;_-@_-"/>
    <numFmt numFmtId="170"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4"/>
      <color theme="1"/>
      <name val="Arial"/>
      <family val="2"/>
    </font>
    <font>
      <sz val="10"/>
      <name val="Arial"/>
      <family val="2"/>
    </font>
    <font>
      <b/>
      <sz val="10"/>
      <name val="Arial"/>
      <family val="2"/>
    </font>
    <font>
      <sz val="9"/>
      <color theme="1"/>
      <name val="Arial"/>
      <family val="2"/>
    </font>
    <font>
      <b/>
      <sz val="12"/>
      <color theme="1"/>
      <name val="Calibri"/>
      <family val="2"/>
      <scheme val="minor"/>
    </font>
    <font>
      <sz val="9"/>
      <color indexed="81"/>
      <name val="Tahoma"/>
      <family val="2"/>
    </font>
    <font>
      <b/>
      <sz val="9"/>
      <color indexed="81"/>
      <name val="Tahoma"/>
      <family val="2"/>
    </font>
    <font>
      <b/>
      <sz val="16"/>
      <color theme="1"/>
      <name val="Calibri"/>
      <family val="2"/>
      <scheme val="minor"/>
    </font>
    <font>
      <b/>
      <sz val="14"/>
      <color theme="1"/>
      <name val="Calibri"/>
      <family val="2"/>
      <scheme val="minor"/>
    </font>
    <font>
      <b/>
      <sz val="9"/>
      <color indexed="81"/>
      <name val="Tahoma"/>
      <charset val="1"/>
    </font>
  </fonts>
  <fills count="10">
    <fill>
      <patternFill patternType="none"/>
    </fill>
    <fill>
      <patternFill patternType="gray125"/>
    </fill>
    <fill>
      <patternFill patternType="solid">
        <fgColor indexed="53"/>
        <bgColor indexed="64"/>
      </patternFill>
    </fill>
    <fill>
      <patternFill patternType="solid">
        <fgColor indexed="17"/>
        <bgColor indexed="64"/>
      </patternFill>
    </fill>
    <fill>
      <patternFill patternType="solid">
        <fgColor theme="9" tint="-0.249977111117893"/>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7"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0">
    <xf numFmtId="0" fontId="0" fillId="0" borderId="0"/>
    <xf numFmtId="43"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31">
    <xf numFmtId="0" fontId="0" fillId="0" borderId="0" xfId="0"/>
    <xf numFmtId="0" fontId="3" fillId="0" borderId="0" xfId="0" applyFont="1"/>
    <xf numFmtId="0" fontId="6" fillId="3" borderId="1" xfId="4" applyFont="1" applyFill="1" applyBorder="1" applyAlignment="1">
      <alignment horizontal="center" vertical="center" wrapText="1"/>
    </xf>
    <xf numFmtId="0" fontId="6" fillId="3" borderId="1" xfId="4" applyFont="1" applyFill="1" applyBorder="1" applyAlignment="1">
      <alignment horizontal="center" vertical="center"/>
    </xf>
    <xf numFmtId="10" fontId="5" fillId="5" borderId="1" xfId="4" applyNumberFormat="1" applyFill="1" applyBorder="1" applyAlignment="1">
      <alignment horizontal="center" vertical="center" wrapText="1"/>
    </xf>
    <xf numFmtId="0" fontId="5" fillId="0" borderId="1" xfId="4" applyBorder="1" applyAlignment="1">
      <alignment horizontal="center" vertical="center" wrapText="1"/>
    </xf>
    <xf numFmtId="0" fontId="5" fillId="0" borderId="0" xfId="4"/>
    <xf numFmtId="0" fontId="7" fillId="0" borderId="0" xfId="0" applyFont="1" applyAlignment="1">
      <alignment horizontal="right" wrapText="1"/>
    </xf>
    <xf numFmtId="166" fontId="3" fillId="0" borderId="0" xfId="2" applyNumberFormat="1" applyFont="1"/>
    <xf numFmtId="164" fontId="3" fillId="0" borderId="0" xfId="0" applyNumberFormat="1" applyFont="1"/>
    <xf numFmtId="1" fontId="3" fillId="0" borderId="0" xfId="0" applyNumberFormat="1" applyFont="1"/>
    <xf numFmtId="0" fontId="3" fillId="0" borderId="1" xfId="0" applyFont="1" applyBorder="1" applyAlignment="1">
      <alignment vertical="center" wrapText="1"/>
    </xf>
    <xf numFmtId="0" fontId="3" fillId="0" borderId="1" xfId="0" applyFont="1" applyBorder="1" applyAlignment="1">
      <alignment horizontal="center" vertical="center" wrapText="1"/>
    </xf>
    <xf numFmtId="10" fontId="5" fillId="5" borderId="1" xfId="3" applyNumberFormat="1" applyFont="1" applyFill="1" applyBorder="1" applyAlignment="1">
      <alignment horizontal="center" vertical="center" wrapText="1"/>
    </xf>
    <xf numFmtId="0" fontId="5" fillId="0" borderId="1" xfId="4" applyBorder="1" applyAlignment="1">
      <alignment vertical="center" wrapText="1"/>
    </xf>
    <xf numFmtId="0" fontId="6" fillId="5" borderId="1" xfId="4" applyFont="1" applyFill="1" applyBorder="1" applyAlignment="1">
      <alignment horizontal="center" vertical="center" wrapText="1"/>
    </xf>
    <xf numFmtId="0" fontId="6" fillId="0" borderId="1" xfId="4" applyFont="1" applyBorder="1" applyAlignment="1">
      <alignment horizontal="center" vertical="center" wrapText="1"/>
    </xf>
    <xf numFmtId="164" fontId="8" fillId="6" borderId="1" xfId="3" applyNumberFormat="1" applyFont="1" applyFill="1" applyBorder="1" applyAlignment="1">
      <alignment vertical="center"/>
    </xf>
    <xf numFmtId="0" fontId="0" fillId="0" borderId="0" xfId="0" pivotButton="1"/>
    <xf numFmtId="0" fontId="0" fillId="0" borderId="0" xfId="0" applyAlignment="1">
      <alignment horizontal="left"/>
    </xf>
    <xf numFmtId="0" fontId="3" fillId="0" borderId="1" xfId="4" applyFont="1" applyBorder="1" applyAlignment="1">
      <alignment vertical="center" wrapText="1"/>
    </xf>
    <xf numFmtId="10" fontId="0" fillId="0" borderId="0" xfId="0" applyNumberFormat="1"/>
    <xf numFmtId="0" fontId="3" fillId="0" borderId="1" xfId="4" applyFont="1" applyBorder="1" applyAlignment="1">
      <alignment horizontal="center" vertical="center" wrapText="1"/>
    </xf>
    <xf numFmtId="168" fontId="2" fillId="0" borderId="1" xfId="2" applyNumberFormat="1" applyFont="1" applyFill="1" applyBorder="1" applyAlignment="1">
      <alignment horizontal="center" vertical="center"/>
    </xf>
    <xf numFmtId="0" fontId="2" fillId="0" borderId="1" xfId="0" applyFont="1" applyBorder="1" applyAlignment="1">
      <alignment horizontal="center" vertical="center"/>
    </xf>
    <xf numFmtId="167" fontId="2" fillId="0" borderId="1" xfId="1" applyNumberFormat="1" applyFont="1" applyFill="1" applyBorder="1" applyAlignment="1">
      <alignment horizontal="center" vertical="center"/>
    </xf>
    <xf numFmtId="9" fontId="2" fillId="0" borderId="1" xfId="0" applyNumberFormat="1" applyFont="1" applyBorder="1" applyAlignment="1">
      <alignment horizontal="center" vertical="center"/>
    </xf>
    <xf numFmtId="9" fontId="2" fillId="0" borderId="1" xfId="3" applyFont="1" applyFill="1" applyBorder="1" applyAlignment="1">
      <alignment horizontal="center" vertical="center"/>
    </xf>
    <xf numFmtId="0" fontId="0" fillId="0" borderId="1" xfId="0" applyBorder="1" applyAlignment="1">
      <alignment horizontal="right" vertical="center"/>
    </xf>
    <xf numFmtId="9" fontId="0" fillId="0" borderId="1" xfId="3" applyFont="1" applyFill="1" applyBorder="1" applyAlignment="1">
      <alignment horizontal="right" vertical="center"/>
    </xf>
    <xf numFmtId="2" fontId="0" fillId="0" borderId="1" xfId="0" applyNumberFormat="1" applyBorder="1" applyAlignment="1">
      <alignment horizontal="right" vertical="center"/>
    </xf>
    <xf numFmtId="167" fontId="0" fillId="0" borderId="1" xfId="1" applyNumberFormat="1" applyFont="1" applyFill="1" applyBorder="1" applyAlignment="1">
      <alignment horizontal="right" vertical="center"/>
    </xf>
    <xf numFmtId="10" fontId="0" fillId="0" borderId="1" xfId="0" applyNumberFormat="1" applyBorder="1" applyAlignment="1">
      <alignment horizontal="right" vertical="center"/>
    </xf>
    <xf numFmtId="168" fontId="0" fillId="0" borderId="1" xfId="2" applyNumberFormat="1" applyFont="1" applyFill="1" applyBorder="1" applyAlignment="1">
      <alignment horizontal="right" vertical="center"/>
    </xf>
    <xf numFmtId="9" fontId="0" fillId="0" borderId="1" xfId="0" applyNumberFormat="1" applyBorder="1" applyAlignment="1">
      <alignment horizontal="right" vertical="center"/>
    </xf>
    <xf numFmtId="164" fontId="0" fillId="0" borderId="1" xfId="3" applyNumberFormat="1" applyFont="1" applyFill="1" applyBorder="1" applyAlignment="1">
      <alignment horizontal="right" vertical="center"/>
    </xf>
    <xf numFmtId="9" fontId="0" fillId="0" borderId="0" xfId="3" applyFont="1"/>
    <xf numFmtId="9" fontId="11" fillId="0" borderId="0" xfId="3" applyFont="1" applyAlignment="1">
      <alignment horizontal="center" vertical="center"/>
    </xf>
    <xf numFmtId="9" fontId="0" fillId="0" borderId="0" xfId="3" applyFont="1" applyAlignment="1">
      <alignment horizontal="center"/>
    </xf>
    <xf numFmtId="10" fontId="2" fillId="0" borderId="1" xfId="0" applyNumberFormat="1" applyFont="1" applyBorder="1" applyAlignment="1">
      <alignment horizontal="center" vertical="center"/>
    </xf>
    <xf numFmtId="0" fontId="3" fillId="0" borderId="0" xfId="0" applyFont="1" applyAlignment="1">
      <alignment horizontal="center"/>
    </xf>
    <xf numFmtId="167" fontId="2" fillId="0" borderId="1" xfId="1" applyNumberFormat="1" applyFont="1" applyBorder="1" applyAlignment="1">
      <alignment horizontal="center" vertical="center"/>
    </xf>
    <xf numFmtId="0" fontId="5" fillId="7" borderId="1" xfId="4" applyFill="1" applyBorder="1" applyAlignment="1">
      <alignment horizontal="center" vertical="center" wrapText="1"/>
    </xf>
    <xf numFmtId="0" fontId="12" fillId="6" borderId="1" xfId="0" applyFont="1" applyFill="1" applyBorder="1" applyAlignment="1">
      <alignment vertical="center"/>
    </xf>
    <xf numFmtId="9" fontId="12" fillId="6" borderId="1" xfId="3" applyFont="1" applyFill="1" applyBorder="1" applyAlignment="1">
      <alignment vertical="center"/>
    </xf>
    <xf numFmtId="43" fontId="12" fillId="6" borderId="1" xfId="1" applyFont="1" applyFill="1" applyBorder="1" applyAlignment="1">
      <alignment vertical="center"/>
    </xf>
    <xf numFmtId="167" fontId="12" fillId="6" borderId="1" xfId="1" applyNumberFormat="1" applyFont="1" applyFill="1" applyBorder="1" applyAlignment="1">
      <alignment vertical="center"/>
    </xf>
    <xf numFmtId="10" fontId="12" fillId="6" borderId="1" xfId="3" applyNumberFormat="1" applyFont="1" applyFill="1" applyBorder="1" applyAlignment="1">
      <alignment vertical="center"/>
    </xf>
    <xf numFmtId="168" fontId="12" fillId="6" borderId="1" xfId="2" applyNumberFormat="1" applyFont="1" applyFill="1" applyBorder="1" applyAlignment="1">
      <alignment vertical="center"/>
    </xf>
    <xf numFmtId="164" fontId="12" fillId="6" borderId="1" xfId="3" applyNumberFormat="1" applyFont="1" applyFill="1" applyBorder="1" applyAlignment="1">
      <alignment vertical="center"/>
    </xf>
    <xf numFmtId="9" fontId="0" fillId="0" borderId="1" xfId="3" applyFont="1" applyFill="1" applyBorder="1" applyAlignment="1">
      <alignment horizontal="center" vertical="center"/>
    </xf>
    <xf numFmtId="0" fontId="0" fillId="0" borderId="1" xfId="0" applyBorder="1" applyAlignment="1">
      <alignment horizontal="center" vertical="center"/>
    </xf>
    <xf numFmtId="167" fontId="0" fillId="0" borderId="1" xfId="1" applyNumberFormat="1" applyFont="1" applyFill="1" applyBorder="1" applyAlignment="1">
      <alignment horizontal="center" vertical="center"/>
    </xf>
    <xf numFmtId="9" fontId="0" fillId="0" borderId="1" xfId="0" applyNumberFormat="1" applyBorder="1" applyAlignment="1">
      <alignment horizontal="center" vertical="center"/>
    </xf>
    <xf numFmtId="166" fontId="3" fillId="0" borderId="0" xfId="2" applyNumberFormat="1" applyFont="1" applyAlignment="1">
      <alignment horizontal="center"/>
    </xf>
    <xf numFmtId="9" fontId="0" fillId="0" borderId="0" xfId="0" applyNumberFormat="1" applyAlignment="1">
      <alignment horizontal="center"/>
    </xf>
    <xf numFmtId="0" fontId="0" fillId="0" borderId="0" xfId="0" applyAlignment="1">
      <alignment horizontal="center"/>
    </xf>
    <xf numFmtId="9" fontId="0" fillId="0" borderId="1" xfId="3" applyFont="1" applyBorder="1" applyAlignment="1">
      <alignment horizontal="right" vertical="center"/>
    </xf>
    <xf numFmtId="0" fontId="5" fillId="8" borderId="1" xfId="4" applyFill="1" applyBorder="1" applyAlignment="1">
      <alignment horizontal="left" vertical="top" wrapText="1"/>
    </xf>
    <xf numFmtId="10" fontId="12" fillId="6" borderId="1" xfId="3" applyNumberFormat="1" applyFont="1" applyFill="1" applyBorder="1" applyAlignment="1">
      <alignment horizontal="center" vertical="center"/>
    </xf>
    <xf numFmtId="169" fontId="0" fillId="0" borderId="1" xfId="1" applyNumberFormat="1" applyFont="1" applyFill="1" applyBorder="1" applyAlignment="1">
      <alignment horizontal="right" vertical="center"/>
    </xf>
    <xf numFmtId="0" fontId="0" fillId="8" borderId="1" xfId="0" applyFill="1" applyBorder="1" applyAlignment="1">
      <alignment horizontal="center" vertical="center"/>
    </xf>
    <xf numFmtId="9" fontId="0" fillId="8" borderId="1" xfId="3" applyFont="1" applyFill="1" applyBorder="1" applyAlignment="1">
      <alignment horizontal="center" vertical="center"/>
    </xf>
    <xf numFmtId="10" fontId="0" fillId="0" borderId="1" xfId="3" applyNumberFormat="1" applyFont="1" applyFill="1" applyBorder="1" applyAlignment="1">
      <alignment horizontal="right" vertical="center"/>
    </xf>
    <xf numFmtId="9" fontId="0" fillId="8" borderId="1" xfId="0" applyNumberFormat="1" applyFill="1" applyBorder="1" applyAlignment="1">
      <alignment horizontal="right" vertical="center"/>
    </xf>
    <xf numFmtId="0" fontId="5" fillId="8" borderId="1" xfId="4" applyFill="1" applyBorder="1" applyAlignment="1">
      <alignment horizontal="left" vertical="center" wrapText="1"/>
    </xf>
    <xf numFmtId="0" fontId="5" fillId="8" borderId="0" xfId="4" applyFill="1"/>
    <xf numFmtId="170" fontId="2" fillId="0" borderId="1" xfId="0" applyNumberFormat="1" applyFont="1" applyBorder="1" applyAlignment="1">
      <alignment horizontal="center" vertical="center"/>
    </xf>
    <xf numFmtId="0" fontId="2" fillId="8" borderId="1" xfId="0" applyFont="1" applyFill="1" applyBorder="1" applyAlignment="1">
      <alignment horizontal="center" vertical="center"/>
    </xf>
    <xf numFmtId="166" fontId="2" fillId="0" borderId="1" xfId="2" applyNumberFormat="1" applyFont="1" applyFill="1" applyBorder="1" applyAlignment="1">
      <alignment horizontal="center" vertical="center"/>
    </xf>
    <xf numFmtId="0" fontId="3" fillId="8" borderId="1" xfId="0" applyFont="1" applyFill="1" applyBorder="1" applyAlignment="1">
      <alignment vertical="center" wrapText="1"/>
    </xf>
    <xf numFmtId="0" fontId="3" fillId="8" borderId="1" xfId="0" applyFont="1" applyFill="1" applyBorder="1" applyAlignment="1">
      <alignment horizontal="center" vertical="center" wrapText="1"/>
    </xf>
    <xf numFmtId="0" fontId="3" fillId="8" borderId="1" xfId="4" applyFont="1" applyFill="1" applyBorder="1" applyAlignment="1">
      <alignment vertical="center" wrapText="1"/>
    </xf>
    <xf numFmtId="0" fontId="3" fillId="8" borderId="1" xfId="4" applyFont="1" applyFill="1" applyBorder="1" applyAlignment="1">
      <alignment horizontal="center" vertical="center" wrapText="1"/>
    </xf>
    <xf numFmtId="0" fontId="5" fillId="8" borderId="1" xfId="4" applyFill="1" applyBorder="1" applyAlignment="1">
      <alignment vertical="center" wrapText="1"/>
    </xf>
    <xf numFmtId="0" fontId="5" fillId="8" borderId="1" xfId="4" applyFill="1" applyBorder="1" applyAlignment="1">
      <alignment horizontal="center" vertical="center" wrapText="1"/>
    </xf>
    <xf numFmtId="0" fontId="5" fillId="9" borderId="1" xfId="4" applyFill="1" applyBorder="1" applyAlignment="1">
      <alignment horizontal="center" vertical="center" wrapText="1"/>
    </xf>
    <xf numFmtId="0" fontId="0" fillId="8" borderId="0" xfId="0" applyFill="1"/>
    <xf numFmtId="167" fontId="0" fillId="8" borderId="0" xfId="1" applyNumberFormat="1" applyFont="1" applyFill="1"/>
    <xf numFmtId="0" fontId="2" fillId="8" borderId="0" xfId="0" applyFont="1" applyFill="1" applyAlignment="1">
      <alignment horizontal="center"/>
    </xf>
    <xf numFmtId="167" fontId="2" fillId="8" borderId="0" xfId="1" applyNumberFormat="1" applyFont="1" applyFill="1" applyAlignment="1">
      <alignment horizontal="center"/>
    </xf>
    <xf numFmtId="9" fontId="0" fillId="8" borderId="0" xfId="3" applyFont="1" applyFill="1"/>
    <xf numFmtId="0" fontId="0" fillId="8" borderId="1" xfId="0" applyFill="1" applyBorder="1"/>
    <xf numFmtId="167" fontId="0" fillId="8" borderId="1" xfId="1" applyNumberFormat="1" applyFont="1" applyFill="1" applyBorder="1"/>
    <xf numFmtId="0" fontId="0" fillId="8" borderId="0" xfId="0" applyFill="1" applyAlignment="1">
      <alignment horizontal="center" vertical="center"/>
    </xf>
    <xf numFmtId="9" fontId="0" fillId="8" borderId="1" xfId="3" applyFont="1" applyFill="1" applyBorder="1"/>
    <xf numFmtId="167" fontId="2" fillId="8" borderId="1" xfId="1" applyNumberFormat="1" applyFont="1" applyFill="1" applyBorder="1" applyAlignment="1">
      <alignment horizontal="center" vertical="center"/>
    </xf>
    <xf numFmtId="167" fontId="2" fillId="8" borderId="1" xfId="1" applyNumberFormat="1" applyFont="1" applyFill="1" applyBorder="1" applyAlignment="1">
      <alignment horizontal="center" vertical="center" wrapText="1"/>
    </xf>
    <xf numFmtId="9" fontId="0" fillId="0" borderId="1" xfId="3" applyFont="1" applyBorder="1" applyAlignment="1">
      <alignment horizontal="center" vertical="center"/>
    </xf>
    <xf numFmtId="0" fontId="3" fillId="0" borderId="1" xfId="0" applyFont="1" applyBorder="1" applyAlignment="1">
      <alignment horizontal="left" vertical="center" wrapText="1"/>
    </xf>
    <xf numFmtId="0" fontId="0" fillId="8" borderId="1" xfId="0" applyFill="1" applyBorder="1" applyAlignment="1">
      <alignment horizontal="right" vertical="center"/>
    </xf>
    <xf numFmtId="167" fontId="0" fillId="8" borderId="1" xfId="1" applyNumberFormat="1" applyFont="1" applyFill="1" applyBorder="1" applyAlignment="1">
      <alignment horizontal="right" vertical="center"/>
    </xf>
    <xf numFmtId="164" fontId="0" fillId="0" borderId="0" xfId="0" applyNumberFormat="1" applyAlignment="1">
      <alignment horizontal="center"/>
    </xf>
    <xf numFmtId="10" fontId="0" fillId="0" borderId="0" xfId="3" applyNumberFormat="1" applyFont="1"/>
    <xf numFmtId="1" fontId="2" fillId="0" borderId="1" xfId="0" applyNumberFormat="1" applyFont="1" applyBorder="1" applyAlignment="1">
      <alignment horizontal="center" vertical="center"/>
    </xf>
    <xf numFmtId="9" fontId="2" fillId="8" borderId="1" xfId="0" applyNumberFormat="1" applyFont="1" applyFill="1" applyBorder="1" applyAlignment="1">
      <alignment horizontal="center" vertical="center"/>
    </xf>
    <xf numFmtId="0" fontId="6" fillId="2" borderId="1" xfId="4" applyFont="1" applyFill="1" applyBorder="1" applyAlignment="1">
      <alignment horizontal="center" vertical="center" wrapText="1" shrinkToFit="1"/>
    </xf>
    <xf numFmtId="0" fontId="6" fillId="2" borderId="1" xfId="4" applyFont="1" applyFill="1" applyBorder="1" applyAlignment="1">
      <alignment vertical="center" wrapText="1" shrinkToFit="1"/>
    </xf>
    <xf numFmtId="0" fontId="6" fillId="3" borderId="10" xfId="4" applyFont="1" applyFill="1" applyBorder="1" applyAlignment="1">
      <alignment horizontal="center" vertical="center" wrapText="1"/>
    </xf>
    <xf numFmtId="0" fontId="6" fillId="3" borderId="11" xfId="4" applyFont="1" applyFill="1" applyBorder="1" applyAlignment="1">
      <alignment horizontal="center" vertical="center" wrapText="1"/>
    </xf>
    <xf numFmtId="0" fontId="6" fillId="3" borderId="12" xfId="4" applyFont="1" applyFill="1" applyBorder="1" applyAlignment="1">
      <alignment horizontal="center" vertical="center" wrapText="1"/>
    </xf>
    <xf numFmtId="0" fontId="6" fillId="4" borderId="10" xfId="4" applyFont="1" applyFill="1" applyBorder="1" applyAlignment="1">
      <alignment horizontal="center" vertical="center" wrapText="1"/>
    </xf>
    <xf numFmtId="0" fontId="6" fillId="4" borderId="11" xfId="4" applyFont="1" applyFill="1" applyBorder="1" applyAlignment="1">
      <alignment horizontal="center" vertical="center" wrapText="1"/>
    </xf>
    <xf numFmtId="0" fontId="6" fillId="4" borderId="12" xfId="4" applyFont="1" applyFill="1" applyBorder="1" applyAlignment="1">
      <alignment horizontal="center" vertical="center"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11" xfId="0" applyFont="1" applyBorder="1"/>
    <xf numFmtId="0" fontId="3" fillId="0" borderId="12" xfId="0" applyFont="1" applyBorder="1" applyAlignment="1">
      <alignment horizontal="center"/>
    </xf>
    <xf numFmtId="0" fontId="3" fillId="0" borderId="1" xfId="0" applyFont="1"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horizontal="center" vertical="center"/>
    </xf>
    <xf numFmtId="0" fontId="6" fillId="0" borderId="1" xfId="4" applyFont="1" applyBorder="1" applyAlignment="1">
      <alignment horizontal="left" vertical="center" wrapText="1"/>
    </xf>
    <xf numFmtId="0" fontId="6" fillId="0" borderId="1" xfId="4" applyFont="1" applyBorder="1" applyAlignment="1">
      <alignment vertical="center" wrapText="1"/>
    </xf>
    <xf numFmtId="0" fontId="6" fillId="0" borderId="1" xfId="4" applyFont="1" applyBorder="1" applyAlignment="1">
      <alignment horizontal="center" vertical="center" wrapText="1"/>
    </xf>
    <xf numFmtId="0" fontId="2" fillId="8" borderId="0" xfId="0" applyFont="1" applyFill="1" applyAlignment="1">
      <alignment horizontal="center"/>
    </xf>
    <xf numFmtId="0" fontId="12" fillId="8" borderId="0" xfId="0" applyFont="1" applyFill="1" applyAlignment="1">
      <alignment horizontal="center" vertical="center"/>
    </xf>
    <xf numFmtId="167" fontId="2" fillId="8" borderId="1" xfId="1" applyNumberFormat="1" applyFont="1" applyFill="1" applyBorder="1" applyAlignment="1">
      <alignment horizontal="center"/>
    </xf>
    <xf numFmtId="167" fontId="11" fillId="8" borderId="10" xfId="1" applyNumberFormat="1" applyFont="1" applyFill="1" applyBorder="1" applyAlignment="1">
      <alignment horizontal="center" vertical="center"/>
    </xf>
    <xf numFmtId="167" fontId="11" fillId="8" borderId="11" xfId="1" applyNumberFormat="1" applyFont="1" applyFill="1" applyBorder="1" applyAlignment="1">
      <alignment horizontal="center" vertical="center"/>
    </xf>
    <xf numFmtId="167" fontId="11" fillId="8" borderId="12" xfId="1" applyNumberFormat="1" applyFont="1" applyFill="1" applyBorder="1" applyAlignment="1">
      <alignment horizontal="center" vertical="center"/>
    </xf>
    <xf numFmtId="10" fontId="3" fillId="0" borderId="0" xfId="0" applyNumberFormat="1" applyFont="1" applyAlignment="1">
      <alignment horizontal="center"/>
    </xf>
  </cellXfs>
  <cellStyles count="10">
    <cellStyle name="Millares" xfId="1" builtinId="3"/>
    <cellStyle name="Millares 2" xfId="5"/>
    <cellStyle name="Millares 2 2" xfId="7"/>
    <cellStyle name="Millares 2 3" xfId="9"/>
    <cellStyle name="Millares 3" xfId="6"/>
    <cellStyle name="Millares 4" xfId="8"/>
    <cellStyle name="Moneda" xfId="2" builtinId="4"/>
    <cellStyle name="Normal" xfId="0" builtinId="0"/>
    <cellStyle name="Normal 2" xfId="4"/>
    <cellStyle name="Porcentaje" xfId="3" builtinId="5"/>
  </cellStyles>
  <dxfs count="12">
    <dxf>
      <numFmt numFmtId="164" formatCode="0.0%"/>
    </dxf>
    <dxf>
      <numFmt numFmtId="164" formatCode="0.0%"/>
    </dxf>
    <dxf>
      <alignment horizontal="center"/>
    </dxf>
    <dxf>
      <alignment horizontal="center"/>
    </dxf>
    <dxf>
      <numFmt numFmtId="13" formatCode="0%"/>
    </dxf>
    <dxf>
      <alignment horizontal="center"/>
    </dxf>
    <dxf>
      <alignment horizontal="center"/>
    </dxf>
    <dxf>
      <numFmt numFmtId="13" formatCode="0%"/>
    </dxf>
    <dxf>
      <numFmt numFmtId="13" formatCode="0%"/>
    </dxf>
    <dxf>
      <alignment horizontal="center"/>
    </dxf>
    <dxf>
      <alignment horizontal="center"/>
    </dxf>
    <dxf>
      <numFmt numFmtId="13" formatCode="0%"/>
    </dxf>
  </dxfs>
  <tableStyles count="0" defaultTableStyle="TableStyleMedium2" defaultPivotStyle="PivotStyleLight16"/>
  <colors>
    <mruColors>
      <color rgb="FF31FD0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2-9B44-43E9-82F4-D9E53406A95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B44-43E9-82F4-D9E53406A95A}"/>
              </c:ext>
            </c:extLst>
          </c:dPt>
          <c:dLbls>
            <c:dLbl>
              <c:idx val="0"/>
              <c:layout>
                <c:manualLayout>
                  <c:x val="0.12584269662921349"/>
                  <c:y val="-4.252087062080470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B44-43E9-82F4-D9E53406A95A}"/>
                </c:ext>
              </c:extLst>
            </c:dLbl>
            <c:dLbl>
              <c:idx val="1"/>
              <c:layout>
                <c:manualLayout>
                  <c:x val="-0.11685393258426967"/>
                  <c:y val="5.466969079817748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B44-43E9-82F4-D9E53406A95A}"/>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'Tablas Resumen'!$F$2:$F$3</c:f>
              <c:strCache>
                <c:ptCount val="2"/>
                <c:pt idx="0">
                  <c:v>Meta alcalzada</c:v>
                </c:pt>
                <c:pt idx="1">
                  <c:v>Por alcanzar</c:v>
                </c:pt>
              </c:strCache>
            </c:strRef>
          </c:cat>
          <c:val>
            <c:numRef>
              <c:f>'Tablas Resumen'!$G$2:$G$3</c:f>
              <c:numCache>
                <c:formatCode>0.00%</c:formatCode>
                <c:ptCount val="2"/>
                <c:pt idx="0">
                  <c:v>0</c:v>
                </c:pt>
                <c:pt idx="1">
                  <c:v>0</c:v>
                </c:pt>
              </c:numCache>
            </c:numRef>
          </c:val>
          <c:extLst>
            <c:ext xmlns:c16="http://schemas.microsoft.com/office/drawing/2014/chart" uri="{C3380CC4-5D6E-409C-BE32-E72D297353CC}">
              <c16:uniqueId val="{00000000-9B44-43E9-82F4-D9E53406A95A}"/>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[Plan-de-acción-Telemedellín 2026.xlsx]Tablas Resumen!TablaDinámica4</c:name>
    <c:fmtId val="0"/>
  </c:pivotSource>
  <c:chart>
    <c:autoTitleDeleted val="0"/>
    <c:pivotFmts>
      <c:pivotFmt>
        <c:idx val="0"/>
        <c:spPr>
          <a:solidFill>
            <a:schemeClr val="accent2"/>
          </a:solidFill>
          <a:ln>
            <a:noFill/>
          </a:ln>
          <a:effectLst/>
        </c:spPr>
        <c:marker>
          <c:symbol val="none"/>
        </c:marker>
      </c:pivotFmt>
      <c:pivotFmt>
        <c:idx val="1"/>
        <c:spPr>
          <a:solidFill>
            <a:schemeClr val="accent6">
              <a:lumMod val="60000"/>
              <a:lumOff val="40000"/>
            </a:schemeClr>
          </a:solidFill>
          <a:ln>
            <a:noFill/>
          </a:ln>
          <a:effectLst/>
        </c:spPr>
        <c:marker>
          <c:symbol val="none"/>
        </c:marker>
      </c:pivotFmt>
    </c:pivotFmts>
    <c:plotArea>
      <c:layout/>
      <c:barChart>
        <c:barDir val="bar"/>
        <c:grouping val="clustered"/>
        <c:varyColors val="0"/>
        <c:ser>
          <c:idx val="0"/>
          <c:order val="0"/>
          <c:tx>
            <c:strRef>
              <c:f>'Tablas Resumen'!$B$14</c:f>
              <c:strCache>
                <c:ptCount val="1"/>
                <c:pt idx="0">
                  <c:v>Suma de PONDERACIÓN</c:v>
                </c:pt>
              </c:strCache>
            </c:strRef>
          </c:tx>
          <c:spPr>
            <a:solidFill>
              <a:schemeClr val="accent2"/>
            </a:solidFill>
            <a:ln>
              <a:noFill/>
            </a:ln>
            <a:effectLst/>
          </c:spPr>
          <c:invertIfNegative val="0"/>
          <c:cat>
            <c:strRef>
              <c:f>'Tablas Resumen'!$A$15:$A$22</c:f>
              <c:strCache>
                <c:ptCount val="7"/>
                <c:pt idx="0">
                  <c:v>EN TM NOS CONECTAMOS</c:v>
                </c:pt>
                <c:pt idx="1">
                  <c:v>EN TM NOS CONOCEMOS</c:v>
                </c:pt>
                <c:pt idx="2">
                  <c:v>EN TM NOS CUIDAMOS</c:v>
                </c:pt>
                <c:pt idx="3">
                  <c:v>EN TM NOS POTENCIAMOS</c:v>
                </c:pt>
                <c:pt idx="4">
                  <c:v>EN TM NOS PROYECTAMOS</c:v>
                </c:pt>
                <c:pt idx="5">
                  <c:v>EN TM NOS TRANSFORMAMOS</c:v>
                </c:pt>
                <c:pt idx="6">
                  <c:v>EN TM NOS VEMOS Y NOS ESCUCHAMOS</c:v>
                </c:pt>
              </c:strCache>
            </c:strRef>
          </c:cat>
          <c:val>
            <c:numRef>
              <c:f>'Tablas Resumen'!$B$15:$B$22</c:f>
              <c:numCache>
                <c:formatCode>0%</c:formatCode>
                <c:ptCount val="7"/>
                <c:pt idx="0">
                  <c:v>0.1235</c:v>
                </c:pt>
                <c:pt idx="1">
                  <c:v>7.4479166666666666E-2</c:v>
                </c:pt>
                <c:pt idx="2">
                  <c:v>8.1000000000000016E-2</c:v>
                </c:pt>
                <c:pt idx="3">
                  <c:v>0.35424333333333313</c:v>
                </c:pt>
                <c:pt idx="4">
                  <c:v>6.5000000000000002E-2</c:v>
                </c:pt>
                <c:pt idx="5">
                  <c:v>8.9749999999999996E-2</c:v>
                </c:pt>
                <c:pt idx="6">
                  <c:v>0.20083333333333336</c:v>
                </c:pt>
              </c:numCache>
            </c:numRef>
          </c:val>
          <c:extLst>
            <c:ext xmlns:c16="http://schemas.microsoft.com/office/drawing/2014/chart" uri="{C3380CC4-5D6E-409C-BE32-E72D297353CC}">
              <c16:uniqueId val="{00000000-8BFD-4730-B967-B67DBAB877D4}"/>
            </c:ext>
          </c:extLst>
        </c:ser>
        <c:ser>
          <c:idx val="1"/>
          <c:order val="1"/>
          <c:tx>
            <c:strRef>
              <c:f>'Tablas Resumen'!$C$14</c:f>
              <c:strCache>
                <c:ptCount val="1"/>
                <c:pt idx="0">
                  <c:v>Suma de Total alcanzado ponderado</c:v>
                </c:pt>
              </c:strCache>
            </c:strRef>
          </c:tx>
          <c:spPr>
            <a:solidFill>
              <a:schemeClr val="accent6">
                <a:lumMod val="60000"/>
                <a:lumOff val="40000"/>
              </a:schemeClr>
            </a:solidFill>
            <a:ln>
              <a:noFill/>
            </a:ln>
            <a:effectLst/>
          </c:spPr>
          <c:invertIfNegative val="0"/>
          <c:cat>
            <c:strRef>
              <c:f>'Tablas Resumen'!$A$15:$A$22</c:f>
              <c:strCache>
                <c:ptCount val="7"/>
                <c:pt idx="0">
                  <c:v>EN TM NOS CONECTAMOS</c:v>
                </c:pt>
                <c:pt idx="1">
                  <c:v>EN TM NOS CONOCEMOS</c:v>
                </c:pt>
                <c:pt idx="2">
                  <c:v>EN TM NOS CUIDAMOS</c:v>
                </c:pt>
                <c:pt idx="3">
                  <c:v>EN TM NOS POTENCIAMOS</c:v>
                </c:pt>
                <c:pt idx="4">
                  <c:v>EN TM NOS PROYECTAMOS</c:v>
                </c:pt>
                <c:pt idx="5">
                  <c:v>EN TM NOS TRANSFORMAMOS</c:v>
                </c:pt>
                <c:pt idx="6">
                  <c:v>EN TM NOS VEMOS Y NOS ESCUCHAMOS</c:v>
                </c:pt>
              </c:strCache>
            </c:strRef>
          </c:cat>
          <c:val>
            <c:numRef>
              <c:f>'Tablas Resumen'!$C$15:$C$22</c:f>
              <c:numCache>
                <c:formatCode>0%</c:formatCode>
                <c:ptCount val="7"/>
                <c:pt idx="0">
                  <c:v>1.7533146222222223E-2</c:v>
                </c:pt>
                <c:pt idx="1">
                  <c:v>5.9220506250000004E-3</c:v>
                </c:pt>
                <c:pt idx="2">
                  <c:v>3.8503888888888893E-2</c:v>
                </c:pt>
                <c:pt idx="3">
                  <c:v>9.1832386227523113E-2</c:v>
                </c:pt>
                <c:pt idx="4">
                  <c:v>5.4166666666666677E-3</c:v>
                </c:pt>
                <c:pt idx="5">
                  <c:v>1.3416978779069768E-2</c:v>
                </c:pt>
                <c:pt idx="6">
                  <c:v>7.5442922877846791E-2</c:v>
                </c:pt>
              </c:numCache>
            </c:numRef>
          </c:val>
          <c:extLst>
            <c:ext xmlns:c16="http://schemas.microsoft.com/office/drawing/2014/chart" uri="{C3380CC4-5D6E-409C-BE32-E72D297353CC}">
              <c16:uniqueId val="{00000001-8BFD-4730-B967-B67DBAB877D4}"/>
            </c:ext>
          </c:extLst>
        </c:ser>
        <c:dLbls>
          <c:showLegendKey val="0"/>
          <c:showVal val="0"/>
          <c:showCatName val="0"/>
          <c:showSerName val="0"/>
          <c:showPercent val="0"/>
          <c:showBubbleSize val="0"/>
        </c:dLbls>
        <c:gapWidth val="182"/>
        <c:axId val="1842907567"/>
        <c:axId val="1842915887"/>
      </c:barChart>
      <c:catAx>
        <c:axId val="18429075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42915887"/>
        <c:crosses val="autoZero"/>
        <c:auto val="1"/>
        <c:lblAlgn val="ctr"/>
        <c:lblOffset val="100"/>
        <c:noMultiLvlLbl val="0"/>
      </c:catAx>
      <c:valAx>
        <c:axId val="184291588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42907567"/>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[Plan-de-acción-Telemedellín 2026.xlsx]Tablas Resumen!TablaDinámica5</c:name>
    <c:fmtId val="0"/>
  </c:pivotSource>
  <c:chart>
    <c:autoTitleDeleted val="0"/>
    <c:pivotFmts>
      <c:pivotFmt>
        <c:idx val="0"/>
        <c:spPr>
          <a:solidFill>
            <a:schemeClr val="accent2"/>
          </a:solidFill>
          <a:ln>
            <a:noFill/>
          </a:ln>
          <a:effectLst/>
        </c:spPr>
        <c:marker>
          <c:symbol val="none"/>
        </c:marker>
      </c:pivotFmt>
      <c:pivotFmt>
        <c:idx val="1"/>
        <c:spPr>
          <a:solidFill>
            <a:schemeClr val="accent6">
              <a:lumMod val="60000"/>
              <a:lumOff val="40000"/>
            </a:schemeClr>
          </a:solidFill>
          <a:ln>
            <a:noFill/>
          </a:ln>
          <a:effectLst/>
        </c:spPr>
        <c:marker>
          <c:symbol val="none"/>
        </c:marker>
      </c:pivotFmt>
    </c:pivotFmts>
    <c:plotArea>
      <c:layout/>
      <c:areaChart>
        <c:grouping val="standard"/>
        <c:varyColors val="0"/>
        <c:ser>
          <c:idx val="0"/>
          <c:order val="0"/>
          <c:tx>
            <c:strRef>
              <c:f>'Tablas Resumen'!$B$25</c:f>
              <c:strCache>
                <c:ptCount val="1"/>
                <c:pt idx="0">
                  <c:v>Suma de PONDERACIÓN</c:v>
                </c:pt>
              </c:strCache>
            </c:strRef>
          </c:tx>
          <c:spPr>
            <a:solidFill>
              <a:schemeClr val="accent2"/>
            </a:solidFill>
            <a:ln>
              <a:noFill/>
            </a:ln>
            <a:effectLst/>
          </c:spPr>
          <c:cat>
            <c:strRef>
              <c:f>'Tablas Resumen'!$A$26:$A$37</c:f>
              <c:strCache>
                <c:ptCount val="11"/>
                <c:pt idx="0">
                  <c:v>Agencia TM</c:v>
                </c:pt>
                <c:pt idx="1">
                  <c:v>Control Interno</c:v>
                </c:pt>
                <c:pt idx="2">
                  <c:v>Dirección Administrativa y Financiera</c:v>
                </c:pt>
                <c:pt idx="3">
                  <c:v>Dirección de Contenidos y Distribución</c:v>
                </c:pt>
                <c:pt idx="4">
                  <c:v>Dirección de Contenidos y Distribución (Digital)</c:v>
                </c:pt>
                <c:pt idx="5">
                  <c:v>Dirección de Relaciones Corporativas</c:v>
                </c:pt>
                <c:pt idx="6">
                  <c:v>Dirección de Tecnología e Innovación</c:v>
                </c:pt>
                <c:pt idx="7">
                  <c:v>Jefatura de Gestión Humana</c:v>
                </c:pt>
                <c:pt idx="8">
                  <c:v>Planeación</c:v>
                </c:pt>
                <c:pt idx="9">
                  <c:v>Producción</c:v>
                </c:pt>
                <c:pt idx="10">
                  <c:v>Secretaría General</c:v>
                </c:pt>
              </c:strCache>
            </c:strRef>
          </c:cat>
          <c:val>
            <c:numRef>
              <c:f>'Tablas Resumen'!$B$26:$B$37</c:f>
              <c:numCache>
                <c:formatCode>0.0%</c:formatCode>
                <c:ptCount val="11"/>
                <c:pt idx="0">
                  <c:v>7.8749999999999973E-2</c:v>
                </c:pt>
                <c:pt idx="1">
                  <c:v>2.794166666666667E-2</c:v>
                </c:pt>
                <c:pt idx="2">
                  <c:v>9.3212500000000004E-2</c:v>
                </c:pt>
                <c:pt idx="3">
                  <c:v>0.26307500000000006</c:v>
                </c:pt>
                <c:pt idx="4">
                  <c:v>0.1235</c:v>
                </c:pt>
                <c:pt idx="5">
                  <c:v>0.10767083333333334</c:v>
                </c:pt>
                <c:pt idx="6">
                  <c:v>0.11244166666666666</c:v>
                </c:pt>
                <c:pt idx="7">
                  <c:v>9.1599166666666676E-2</c:v>
                </c:pt>
                <c:pt idx="8">
                  <c:v>3.9278750000000001E-2</c:v>
                </c:pt>
                <c:pt idx="9">
                  <c:v>1.4487083333333334E-2</c:v>
                </c:pt>
                <c:pt idx="10">
                  <c:v>3.6849166666666669E-2</c:v>
                </c:pt>
              </c:numCache>
            </c:numRef>
          </c:val>
          <c:extLst>
            <c:ext xmlns:c16="http://schemas.microsoft.com/office/drawing/2014/chart" uri="{C3380CC4-5D6E-409C-BE32-E72D297353CC}">
              <c16:uniqueId val="{00000000-3F0A-4290-8DB0-C69AD3192A8E}"/>
            </c:ext>
          </c:extLst>
        </c:ser>
        <c:ser>
          <c:idx val="1"/>
          <c:order val="1"/>
          <c:tx>
            <c:strRef>
              <c:f>'Tablas Resumen'!$C$25</c:f>
              <c:strCache>
                <c:ptCount val="1"/>
                <c:pt idx="0">
                  <c:v>Suma de Total alcanzado ponderado</c:v>
                </c:pt>
              </c:strCache>
            </c:strRef>
          </c:tx>
          <c:spPr>
            <a:solidFill>
              <a:schemeClr val="accent6">
                <a:lumMod val="60000"/>
                <a:lumOff val="40000"/>
              </a:schemeClr>
            </a:solidFill>
            <a:ln>
              <a:noFill/>
            </a:ln>
            <a:effectLst/>
          </c:spPr>
          <c:cat>
            <c:strRef>
              <c:f>'Tablas Resumen'!$A$26:$A$37</c:f>
              <c:strCache>
                <c:ptCount val="11"/>
                <c:pt idx="0">
                  <c:v>Agencia TM</c:v>
                </c:pt>
                <c:pt idx="1">
                  <c:v>Control Interno</c:v>
                </c:pt>
                <c:pt idx="2">
                  <c:v>Dirección Administrativa y Financiera</c:v>
                </c:pt>
                <c:pt idx="3">
                  <c:v>Dirección de Contenidos y Distribución</c:v>
                </c:pt>
                <c:pt idx="4">
                  <c:v>Dirección de Contenidos y Distribución (Digital)</c:v>
                </c:pt>
                <c:pt idx="5">
                  <c:v>Dirección de Relaciones Corporativas</c:v>
                </c:pt>
                <c:pt idx="6">
                  <c:v>Dirección de Tecnología e Innovación</c:v>
                </c:pt>
                <c:pt idx="7">
                  <c:v>Jefatura de Gestión Humana</c:v>
                </c:pt>
                <c:pt idx="8">
                  <c:v>Planeación</c:v>
                </c:pt>
                <c:pt idx="9">
                  <c:v>Producción</c:v>
                </c:pt>
                <c:pt idx="10">
                  <c:v>Secretaría General</c:v>
                </c:pt>
              </c:strCache>
            </c:strRef>
          </c:cat>
          <c:val>
            <c:numRef>
              <c:f>'Tablas Resumen'!$C$26:$C$37</c:f>
              <c:numCache>
                <c:formatCode>0.0%</c:formatCode>
                <c:ptCount val="11"/>
                <c:pt idx="0">
                  <c:v>1.4495245480778072E-2</c:v>
                </c:pt>
                <c:pt idx="1">
                  <c:v>8.3708333333333343E-3</c:v>
                </c:pt>
                <c:pt idx="2">
                  <c:v>8.0224601911894743E-3</c:v>
                </c:pt>
                <c:pt idx="3">
                  <c:v>8.4184589544513452E-2</c:v>
                </c:pt>
                <c:pt idx="4">
                  <c:v>1.7533146222222223E-2</c:v>
                </c:pt>
                <c:pt idx="5">
                  <c:v>2.3842050625000007E-2</c:v>
                </c:pt>
                <c:pt idx="6">
                  <c:v>1.8229478779069771E-2</c:v>
                </c:pt>
                <c:pt idx="7">
                  <c:v>4.0040097222222223E-2</c:v>
                </c:pt>
                <c:pt idx="8">
                  <c:v>4.0843055555555563E-3</c:v>
                </c:pt>
                <c:pt idx="9">
                  <c:v>9.2370833333333333E-3</c:v>
                </c:pt>
                <c:pt idx="10">
                  <c:v>2.0028750000000001E-2</c:v>
                </c:pt>
              </c:numCache>
            </c:numRef>
          </c:val>
          <c:extLst>
            <c:ext xmlns:c16="http://schemas.microsoft.com/office/drawing/2014/chart" uri="{C3380CC4-5D6E-409C-BE32-E72D297353CC}">
              <c16:uniqueId val="{00000001-3F0A-4290-8DB0-C69AD3192A8E}"/>
            </c:ext>
          </c:extLst>
        </c:ser>
        <c:dLbls>
          <c:showLegendKey val="0"/>
          <c:showVal val="0"/>
          <c:showCatName val="0"/>
          <c:showSerName val="0"/>
          <c:showPercent val="0"/>
          <c:showBubbleSize val="0"/>
        </c:dLbls>
        <c:axId val="1844854383"/>
        <c:axId val="1844841487"/>
      </c:areaChart>
      <c:catAx>
        <c:axId val="184485438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44841487"/>
        <c:crosses val="autoZero"/>
        <c:auto val="1"/>
        <c:lblAlgn val="ctr"/>
        <c:lblOffset val="100"/>
        <c:noMultiLvlLbl val="0"/>
      </c:catAx>
      <c:valAx>
        <c:axId val="184484148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44854383"/>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png"/><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830035</xdr:colOff>
      <xdr:row>0</xdr:row>
      <xdr:rowOff>81644</xdr:rowOff>
    </xdr:from>
    <xdr:to>
      <xdr:col>3</xdr:col>
      <xdr:colOff>190499</xdr:colOff>
      <xdr:row>2</xdr:row>
      <xdr:rowOff>163287</xdr:rowOff>
    </xdr:to>
    <xdr:pic>
      <xdr:nvPicPr>
        <xdr:cNvPr id="3" name="Imagen 2">
          <a:extLst>
            <a:ext uri="{FF2B5EF4-FFF2-40B4-BE49-F238E27FC236}">
              <a16:creationId xmlns:a16="http://schemas.microsoft.com/office/drawing/2014/main" id="{0B38DE5A-D2AF-4BDC-A66C-3B51B6B976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035" y="81644"/>
          <a:ext cx="2503714" cy="7075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361950</xdr:colOff>
      <xdr:row>29</xdr:row>
      <xdr:rowOff>9525</xdr:rowOff>
    </xdr:from>
    <xdr:to>
      <xdr:col>17</xdr:col>
      <xdr:colOff>257799</xdr:colOff>
      <xdr:row>41</xdr:row>
      <xdr:rowOff>114634</xdr:rowOff>
    </xdr:to>
    <xdr:pic>
      <xdr:nvPicPr>
        <xdr:cNvPr id="4" name="Imagen 3">
          <a:extLst>
            <a:ext uri="{FF2B5EF4-FFF2-40B4-BE49-F238E27FC236}">
              <a16:creationId xmlns:a16="http://schemas.microsoft.com/office/drawing/2014/main" id="{D032CC1C-07C6-488A-92D6-10FE43C54243}"/>
            </a:ext>
          </a:extLst>
        </xdr:cNvPr>
        <xdr:cNvPicPr>
          <a:picLocks noChangeAspect="1"/>
        </xdr:cNvPicPr>
      </xdr:nvPicPr>
      <xdr:blipFill>
        <a:blip xmlns:r="http://schemas.openxmlformats.org/officeDocument/2006/relationships" r:embed="rId1"/>
        <a:stretch>
          <a:fillRect/>
        </a:stretch>
      </xdr:blipFill>
      <xdr:spPr>
        <a:xfrm>
          <a:off x="13087350" y="5610225"/>
          <a:ext cx="4467849" cy="2391109"/>
        </a:xfrm>
        <a:prstGeom prst="rect">
          <a:avLst/>
        </a:prstGeom>
      </xdr:spPr>
    </xdr:pic>
    <xdr:clientData/>
  </xdr:twoCellAnchor>
  <xdr:twoCellAnchor>
    <xdr:from>
      <xdr:col>7</xdr:col>
      <xdr:colOff>123825</xdr:colOff>
      <xdr:row>1</xdr:row>
      <xdr:rowOff>23812</xdr:rowOff>
    </xdr:from>
    <xdr:to>
      <xdr:col>12</xdr:col>
      <xdr:colOff>552450</xdr:colOff>
      <xdr:row>12</xdr:row>
      <xdr:rowOff>19050</xdr:rowOff>
    </xdr:to>
    <xdr:graphicFrame macro="">
      <xdr:nvGraphicFramePr>
        <xdr:cNvPr id="6" name="Gráfico 5">
          <a:extLst>
            <a:ext uri="{FF2B5EF4-FFF2-40B4-BE49-F238E27FC236}">
              <a16:creationId xmlns:a16="http://schemas.microsoft.com/office/drawing/2014/main" id="{2F1D3963-371E-4FDC-A683-7003A92591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514349</xdr:colOff>
      <xdr:row>12</xdr:row>
      <xdr:rowOff>52387</xdr:rowOff>
    </xdr:from>
    <xdr:to>
      <xdr:col>13</xdr:col>
      <xdr:colOff>571500</xdr:colOff>
      <xdr:row>24</xdr:row>
      <xdr:rowOff>95250</xdr:rowOff>
    </xdr:to>
    <xdr:graphicFrame macro="">
      <xdr:nvGraphicFramePr>
        <xdr:cNvPr id="7" name="Gráfico 6">
          <a:extLst>
            <a:ext uri="{FF2B5EF4-FFF2-40B4-BE49-F238E27FC236}">
              <a16:creationId xmlns:a16="http://schemas.microsoft.com/office/drawing/2014/main" id="{FA2ED20D-2BA3-4935-A18E-61C9E04524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723900</xdr:colOff>
      <xdr:row>26</xdr:row>
      <xdr:rowOff>33336</xdr:rowOff>
    </xdr:from>
    <xdr:to>
      <xdr:col>13</xdr:col>
      <xdr:colOff>114300</xdr:colOff>
      <xdr:row>47</xdr:row>
      <xdr:rowOff>47625</xdr:rowOff>
    </xdr:to>
    <xdr:graphicFrame macro="">
      <xdr:nvGraphicFramePr>
        <xdr:cNvPr id="8" name="Gráfico 7">
          <a:extLst>
            <a:ext uri="{FF2B5EF4-FFF2-40B4-BE49-F238E27FC236}">
              <a16:creationId xmlns:a16="http://schemas.microsoft.com/office/drawing/2014/main" id="{FA95B048-ED05-47FE-BADF-F52B08204B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uan Morales" refreshedDate="45820.465768055554" createdVersion="7" refreshedVersion="6" minRefreshableVersion="3" recordCount="106">
  <cacheSource type="worksheet">
    <worksheetSource ref="A9:Z115" sheet="Telemedellín"/>
  </cacheSource>
  <cacheFields count="26">
    <cacheField name="INS / Identificación" numFmtId="0">
      <sharedItems containsSemiMixedTypes="0" containsString="0" containsNumber="1" containsInteger="1" minValue="1" maxValue="110"/>
    </cacheField>
    <cacheField name="Categoría Interna" numFmtId="0">
      <sharedItems/>
    </cacheField>
    <cacheField name="DIMENSIÓN PLAN DE DESARROLLO ALCALDÍA DE MEDELLÍN" numFmtId="0">
      <sharedItems/>
    </cacheField>
    <cacheField name="OBJETIVO ESTRATÉGICO " numFmtId="0">
      <sharedItems count="6">
        <s v="ELEVAR EL NIVEL DE COMPETITIVIDAD Y POSICIONAMIENTO DEL CANAL"/>
        <s v="ELEVAR LA CAPACIDAD DE INNOVACIÓN, CALIDAD TÉCNICA Y AUDIOVISUAL"/>
        <s v="AUMENTAR EL NIVEL DE DESEMPEÑO INDIVIDUAL Y COLECTIVO"/>
        <s v="ADMINISTRAR Y OPTIMIZAR EFICIENTEMENTE LOS RECURSOS FINANCIEROS"/>
        <s v="REALIZAR ALIANZAS ESTRATÉGICAS CON LA ALCADÍA Y SUS ENTES DESCENTRALIZADOS"/>
        <s v="INCREMENTAR EL NIVEL DE EFICIENCIA Y EFICACIA ADMINISTRATIVA Y OPERATIVA"/>
      </sharedItems>
    </cacheField>
    <cacheField name="LÍNEA ESTRATÉGICA" numFmtId="0">
      <sharedItems count="12">
        <s v="EN TM NOS VEMOS Y NOS ESCUCHAMOS"/>
        <s v="EN TM NOS CONECTAMOS"/>
        <s v="EN TM NOS CONOCEMOS"/>
        <s v="EN TM NOS TRANSFORMAMOS"/>
        <s v="EN TM NOS PROYECTAMOS"/>
        <s v="EN TM NOS CUIDAMOS"/>
        <s v="EN TM NOS POTENCIAMOS"/>
        <s v="Nos Potenciamos" u="1"/>
        <s v="Nos Vemos y nos escuchamos" u="1"/>
        <s v="Nos Cuidamos" u="1"/>
        <s v="Nos Transformamos" u="1"/>
        <s v="Nos Conocemos" u="1"/>
      </sharedItems>
    </cacheField>
    <cacheField name="RESPONSABLE" numFmtId="0">
      <sharedItems count="11">
        <s v="Dirección de Contenidos y Distribución"/>
        <s v="Dirección de Contenidos y Distribución (Digital)"/>
        <s v="Dirección de Relaciones Corporativas"/>
        <s v="Dirección de Tecnología e Innovación"/>
        <s v="Dirección Administrativa y Financiera"/>
        <s v="Jefatura de Gestión Humana"/>
        <s v="Agencia TM"/>
        <s v="Control Interno"/>
        <s v="Planeación"/>
        <s v="Producción"/>
        <s v="Secretaría General"/>
      </sharedItems>
    </cacheField>
    <cacheField name="Nombre indicador" numFmtId="0">
      <sharedItems/>
    </cacheField>
    <cacheField name="Objetivo del indicador" numFmtId="0">
      <sharedItems/>
    </cacheField>
    <cacheField name="Mide" numFmtId="0">
      <sharedItems/>
    </cacheField>
    <cacheField name="Fórmula" numFmtId="0">
      <sharedItems/>
    </cacheField>
    <cacheField name="Periodicidad" numFmtId="0">
      <sharedItems/>
    </cacheField>
    <cacheField name="Ayuda del  Cálculo" numFmtId="0">
      <sharedItems/>
    </cacheField>
    <cacheField name="Meta" numFmtId="0">
      <sharedItems containsMixedTypes="1" containsNumber="1" minValue="6.0000000000000001E-3" maxValue="35000000000"/>
    </cacheField>
    <cacheField name="PONDERACIÓN" numFmtId="10">
      <sharedItems containsSemiMixedTypes="0" containsString="0" containsNumber="1" minValue="2.8000000000000004E-3" maxValue="3.2500000000000001E-2"/>
    </cacheField>
    <cacheField name="Valor alcanzado 1° trimestre" numFmtId="0">
      <sharedItems containsMixedTypes="1" containsNumber="1" minValue="-2859236860.3600001" maxValue="15266844405"/>
    </cacheField>
    <cacheField name="Valor alcanzado 2° trimestre" numFmtId="0">
      <sharedItems containsNonDate="0" containsString="0" containsBlank="1"/>
    </cacheField>
    <cacheField name="Valor alcanzado 3° trimestre" numFmtId="0">
      <sharedItems containsNonDate="0" containsString="0" containsBlank="1"/>
    </cacheField>
    <cacheField name="Valor alcanzado 4° trimestre" numFmtId="0">
      <sharedItems containsNonDate="0" containsString="0" containsBlank="1"/>
    </cacheField>
    <cacheField name="RESULTADO 2024" numFmtId="0">
      <sharedItems containsSemiMixedTypes="0" containsString="0" containsNumber="1" minValue="0" maxValue="15266844405"/>
    </cacheField>
    <cacheField name="Ayuda del  Cálculo2" numFmtId="0">
      <sharedItems/>
    </cacheField>
    <cacheField name="Porcentaje alcanzado de la meta" numFmtId="164">
      <sharedItems containsSemiMixedTypes="0" containsString="0" containsNumber="1" minValue="0" maxValue="1.5111111111111111"/>
    </cacheField>
    <cacheField name="Total alcanzado ponderado" numFmtId="10">
      <sharedItems containsSemiMixedTypes="0" containsString="0" containsNumber="1" minValue="0" maxValue="2.6000000000000002E-2"/>
    </cacheField>
    <cacheField name="Análisis 1° trimestre" numFmtId="0">
      <sharedItems containsBlank="1" longText="1"/>
    </cacheField>
    <cacheField name="Análisis 2° trimestre" numFmtId="0">
      <sharedItems containsNonDate="0" containsString="0" containsBlank="1"/>
    </cacheField>
    <cacheField name="Análisis 3° trimestre" numFmtId="0">
      <sharedItems containsNonDate="0" containsString="0" containsBlank="1"/>
    </cacheField>
    <cacheField name="Análisis 4° trimestre"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6">
  <r>
    <n v="1"/>
    <s v="PEI"/>
    <s v="3.4.6-COMUNICACIÓN PÚBLICA PARA EL FORTALECIMIENTO DE LA INSTITUCIONALIDAD Y LA CONFIANZA CIUDADANA"/>
    <x v="0"/>
    <x v="0"/>
    <x v="0"/>
    <s v="Ranking encuesta “Cómo se informan los líderes”"/>
    <s v="Evaluar la posición ranking del departamento Antioquia: Medios regionales de mayor influencia"/>
    <s v="Eficacia"/>
    <s v="Ranking en la encuesta “Cómo se informan los líderes”"/>
    <s v="Trimestral"/>
    <s v="Valor alcanzado en cada trimestre. Si no se evaluó, es cero &quot;0&quot;"/>
    <n v="4"/>
    <n v="1.95E-2"/>
    <n v="0"/>
    <m/>
    <m/>
    <m/>
    <n v="0"/>
    <s v="Mínimo"/>
    <n v="0"/>
    <n v="0"/>
    <s v="Aún no hay cifras, la encuesta sale a final de año"/>
    <m/>
    <m/>
    <m/>
  </r>
  <r>
    <n v="2"/>
    <s v="PEI"/>
    <s v="3.4.6-COMUNICACIÓN PÚBLICA PARA EL FORTALECIMIENTO DE LA INSTITUCIONALIDAD Y LA CONFIANZA CIUDADANA"/>
    <x v="0"/>
    <x v="0"/>
    <x v="0"/>
    <s v="Porcentaje en la encuesta “Cómo se informan los líderes”"/>
    <s v="Evaluar la posición porcentual Antioquia: Medios regionales de mayor influencia"/>
    <s v="Eficacia"/>
    <s v="Porcentaje en la encuesta “Cómo se informan los líderes”"/>
    <s v="Trimestral"/>
    <s v="Valor alcanzado en cada trimestre. Si no se evaluó, es cero &quot;0&quot;"/>
    <n v="0.06"/>
    <n v="1.95E-2"/>
    <n v="0"/>
    <m/>
    <m/>
    <m/>
    <n v="0"/>
    <s v="Máximo"/>
    <n v="0"/>
    <n v="0"/>
    <s v="Aún no hay cifras, la encuesta sale a final de año"/>
    <m/>
    <m/>
    <m/>
  </r>
  <r>
    <n v="3"/>
    <s v="PEI"/>
    <s v="3.4.6-COMUNICACIÓN PÚBLICA PARA EL FORTALECIMIENTO DE LA INSTITUCIONALIDAD Y LA CONFIANZA CIUDADANA"/>
    <x v="0"/>
    <x v="0"/>
    <x v="0"/>
    <s v="Rating promedio Sistema informativo"/>
    <s v="Evaluar el rating promedio 20 emisiones estreno más vistas del Sistema Informativo en Antioquia"/>
    <s v="Eficacia"/>
    <s v="Promedio de las 20 emisiones más vistas del Sistema Informativo en Antioquia."/>
    <s v="Trimestral"/>
    <s v="Valor máximo alcanzado en los trimestres de evaluación."/>
    <n v="1.2"/>
    <n v="2.6000000000000002E-2"/>
    <n v="1.61"/>
    <m/>
    <m/>
    <m/>
    <n v="1.61"/>
    <s v="Acumulado"/>
    <n v="1.3416666666666668"/>
    <n v="2.6000000000000002E-2"/>
    <s v="En el primer trimestre superamos la meta propuesta en rating gracias a nuestra nueva franja matutina"/>
    <m/>
    <m/>
    <m/>
  </r>
  <r>
    <n v="4"/>
    <s v="PEI"/>
    <s v="3.4.6-COMUNICACIÓN PÚBLICA PARA EL FORTALECIMIENTO DE LA INSTITUCIONALIDAD Y LA CONFIANZA CIUDADANA"/>
    <x v="0"/>
    <x v="0"/>
    <x v="0"/>
    <s v="Horas estreno franja informativa"/>
    <s v="Emitir horas estreno programas franja Informativa, Opinión, Investigación"/>
    <s v="Eficiencia"/>
    <s v="Sumatoria horas estreno franja informativa"/>
    <s v="Trimestral"/>
    <s v="Valor alcanzado en cada trimestre. Si no se evaluó, es cero &quot;0&quot;"/>
    <n v="1400"/>
    <n v="2.6000000000000002E-2"/>
    <n v="382.4"/>
    <m/>
    <m/>
    <m/>
    <n v="382.4"/>
    <s v="Suma"/>
    <n v="0.27314285714285713"/>
    <n v="7.1017142857142859E-3"/>
    <s v="En el primer trimestre superamos la meta propuesta en horas gracias a nuestra nueva franja matutina"/>
    <m/>
    <m/>
    <m/>
  </r>
  <r>
    <n v="5"/>
    <s v="PEI"/>
    <s v="3.4.6-COMUNICACIÓN PÚBLICA PARA EL FORTALECIMIENTO DE LA INSTITUCIONALIDAD Y LA CONFIANZA CIUDADANA"/>
    <x v="0"/>
    <x v="0"/>
    <x v="0"/>
    <s v="Rating promedio franja Cultura Ciudadana, Deporte y Entretenimiento."/>
    <s v="Evaluar el rating promedio de las 20 emisiones más vistas de los programas que componen la franja Cultura Ciudadana, Deporte y Entretenimiento."/>
    <s v="Eficacia"/>
    <s v="Promedio de las 20 emisiones más vistas de la franja en Antioquia"/>
    <s v="Trimestral"/>
    <s v="Valor máximo alcanzado en los trimestres de evaluación."/>
    <n v="0.9"/>
    <n v="1.95E-2"/>
    <n v="1.36"/>
    <m/>
    <m/>
    <m/>
    <n v="1.36"/>
    <s v="Acumulado"/>
    <n v="1.5111111111111111"/>
    <n v="1.95E-2"/>
    <s v="En este primer trimestre cumplimos por encima de lo propuesto con el rating para esta franja."/>
    <m/>
    <m/>
    <m/>
  </r>
  <r>
    <n v="6"/>
    <s v="PEI"/>
    <s v="3.4.6-COMUNICACIÓN PÚBLICA PARA EL FORTALECIMIENTO DE LA INSTITUCIONALIDAD Y LA CONFIANZA CIUDADANA"/>
    <x v="0"/>
    <x v="0"/>
    <x v="0"/>
    <s v="Horas estreno franja Cultura Ciudadana, Deporte y Entretenimiento."/>
    <s v="Emitir horas estreno programas propios que componen la franja Cultura Ciudadana, Deporte y Entretenimiento."/>
    <s v="Eficiencia"/>
    <s v="Sumatoria de horas que componen los programas de la franja"/>
    <s v="Trimestral"/>
    <s v="Valor alcanzado en cada trimestre. Si no se evaluó, es cero &quot;0&quot;"/>
    <n v="1150"/>
    <n v="2.6000000000000002E-2"/>
    <n v="199.5"/>
    <m/>
    <m/>
    <m/>
    <n v="199.5"/>
    <s v="Suma"/>
    <n v="0.17347826086956522"/>
    <n v="4.5104347826086964E-3"/>
    <s v="En el primer trimestre cumplimos con las horas en esta franja y por ende cumplimos con la meta que se propuso."/>
    <m/>
    <m/>
    <m/>
  </r>
  <r>
    <n v="7"/>
    <s v="PEI"/>
    <s v="3.4.6-COMUNICACIÓN PÚBLICA PARA EL FORTALECIMIENTO DE LA INSTITUCIONALIDAD Y LA CONFIANZA CIUDADANA"/>
    <x v="0"/>
    <x v="0"/>
    <x v="0"/>
    <s v="Horas estreno franja Comunicación Pública."/>
    <s v="Emitir horas estreno de programas que componen franja Comunicación Pública."/>
    <s v="Eficiencia"/>
    <s v="Sumatoria de horas en parrilla de los programas que componen la franja"/>
    <s v="Trimestral"/>
    <s v="Valor alcanzado en cada trimestre. Si no se evaluó, es cero &quot;0&quot;"/>
    <n v="200"/>
    <n v="3.2500000000000001E-2"/>
    <n v="31.9"/>
    <m/>
    <m/>
    <m/>
    <n v="31.9"/>
    <s v="Suma"/>
    <n v="0.1595"/>
    <n v="5.18375E-3"/>
    <s v="En este primer semestre quedamos por debajo de la Meta propuesta debido a que faltan algunos programas que componen la franja por iniciar."/>
    <m/>
    <m/>
    <m/>
  </r>
  <r>
    <n v="8"/>
    <s v="PEI"/>
    <s v="3.4.6-COMUNICACIÓN PÚBLICA PARA EL FORTALECIMIENTO DE LA INSTITUCIONALIDAD Y LA CONFIANZA CIUDADANA"/>
    <x v="0"/>
    <x v="0"/>
    <x v="0"/>
    <s v="Alianzas Internacionales para intercambio de contenidos"/>
    <s v="Medir las alianzas Internacionales para intercambio de contenidos producidos por Telemedellín."/>
    <s v="Eficiencia"/>
    <s v="Cantidad de contenidos compartidos"/>
    <s v="Trimestral"/>
    <s v="Valor alcanzado en cada trimestre. Si no se evaluó, es cero &quot;0&quot;"/>
    <n v="3"/>
    <n v="6.5000000000000006E-3"/>
    <n v="2"/>
    <m/>
    <m/>
    <m/>
    <n v="2"/>
    <s v="Suma"/>
    <n v="0.66666666666666663"/>
    <n v="4.3333333333333331E-3"/>
    <s v="Se compartieron dos contenidos con la Red TAL "/>
    <m/>
    <m/>
    <m/>
  </r>
  <r>
    <n v="9"/>
    <s v="PEI"/>
    <s v="3.4.6-COMUNICACIÓN PÚBLICA PARA EL FORTALECIMIENTO DE LA INSTITUCIONALIDAD Y LA CONFIANZA CIUDADANA"/>
    <x v="0"/>
    <x v="0"/>
    <x v="0"/>
    <s v="Galardones"/>
    <s v="Medir los Galardones obtenidos. (Galardones obtenidos con producciones propias y/o coproducción)"/>
    <s v="Eficiencia"/>
    <s v="Sumatoria de galardones en eventos locales, nacionales e internacionales"/>
    <s v="Trimestral"/>
    <s v="Valor alcanzado en cada trimestre. Si no se evaluó, es cero &quot;0&quot;"/>
    <n v="2"/>
    <n v="6.5000000000000006E-3"/>
    <n v="1"/>
    <m/>
    <m/>
    <m/>
    <n v="1"/>
    <s v="Suma"/>
    <n v="0.5"/>
    <n v="3.2500000000000003E-3"/>
    <s v="En este primer trimestre la asociación de periodistas de Envigado APEhizo un reconocimiento a la verdad a Noticias Telemedellín y a nuestra Gerente por su labor en el Canal."/>
    <m/>
    <m/>
    <m/>
  </r>
  <r>
    <n v="10"/>
    <s v="PEI"/>
    <s v="3.4.6-COMUNICACIÓN PÚBLICA PARA EL FORTALECIMIENTO DE LA INSTITUCIONALIDAD Y LA CONFIANZA CIUDADANA"/>
    <x v="1"/>
    <x v="0"/>
    <x v="0"/>
    <s v="Horas franja laboratorio de Videopodcast Podcast"/>
    <s v="Emitir horas en la franja laboratorio de Videopodcast Podcast y Videopodcast producidos en Telemedellín"/>
    <s v="Eficiencia"/>
    <s v="Sumatoria de horas emitidas en la franja semanal"/>
    <s v="Trimestral"/>
    <s v="Valor alcanzado en cada trimestre. Si no se evaluó, es cero &quot;0&quot;"/>
    <n v="336"/>
    <n v="6.5000000000000006E-3"/>
    <n v="170"/>
    <m/>
    <m/>
    <m/>
    <n v="170"/>
    <s v="Suma"/>
    <n v="0.50595238095238093"/>
    <n v="3.2886904761904763E-3"/>
    <s v="En este semestre estamos por encima de la meta que nos propusimos."/>
    <m/>
    <m/>
    <m/>
  </r>
  <r>
    <n v="11"/>
    <s v="PEI"/>
    <s v="3.4.6-COMUNICACIÓN PÚBLICA PARA EL FORTALECIMIENTO DE LA INSTITUCIONALIDAD Y LA CONFIANZA CIUDADANA"/>
    <x v="1"/>
    <x v="0"/>
    <x v="0"/>
    <s v="Proyectos Podcast y Videopodcast"/>
    <s v="Medir los proyectos Podcast y Videopodcast producidos en Telemedellín"/>
    <s v="Eficiencia"/>
    <s v="Sumatoria de contenidos producidos"/>
    <s v="Trimestral"/>
    <s v="Valor alcanzado en cada trimestre. Si no se evaluó, es cero &quot;0&quot;"/>
    <n v="20"/>
    <n v="6.5000000000000006E-3"/>
    <n v="7"/>
    <m/>
    <m/>
    <m/>
    <n v="7"/>
    <s v="Suma"/>
    <n v="0.35"/>
    <n v="2.2750000000000001E-3"/>
    <s v="Emitidos: Podcast Máster_x000a_Alto Rendimiento_x000a_Halcones_x000a_Evento UPB participantes Telemedellín Academy_x000a_Producidos: Modo Laboral_x000a_Sexualidad infantil_x000a_Medellín para todas"/>
    <m/>
    <m/>
    <m/>
  </r>
  <r>
    <n v="12"/>
    <s v="PEI"/>
    <s v="3.4.6-COMUNICACIÓN PÚBLICA PARA EL FORTALECIMIENTO DE LA INSTITUCIONALIDAD Y LA CONFIANZA CIUDADANA"/>
    <x v="0"/>
    <x v="1"/>
    <x v="1"/>
    <s v="Engagement redes sociales"/>
    <s v="Medir el engagement de las diferentes redes sociales"/>
    <s v="Eficacia"/>
    <s v="∑(seguidores de red n x engagement de red n) / ∑seguidores de las redes"/>
    <s v="Trimestral"/>
    <s v="Valor ACUMULADO en el trimestre de evaluación."/>
    <n v="6.0000000000000001E-3"/>
    <n v="2.6000000000000002E-2"/>
    <s v="0.87%"/>
    <m/>
    <m/>
    <m/>
    <n v="0"/>
    <s v="Final año"/>
    <n v="0"/>
    <n v="0"/>
    <s v="Debido a la Baby Futbol, el engagement del canal subió su promedio por el contenido propio que se hizo en todas las redes sociales. "/>
    <m/>
    <m/>
    <m/>
  </r>
  <r>
    <n v="13"/>
    <s v="PEI"/>
    <s v="3.4.6-COMUNICACIÓN PÚBLICA PARA EL FORTALECIMIENTO DE LA INSTITUCIONALIDAD Y LA CONFIANZA CIUDADANA"/>
    <x v="0"/>
    <x v="1"/>
    <x v="1"/>
    <s v="Seguidores comunidad digital"/>
    <s v="Medir los seguidores en nuestra comunidad digital"/>
    <s v="Efectividad"/>
    <s v="Sumatoria de todos los seguidores y suscriptores de las redes sociales"/>
    <s v="Trimestral"/>
    <s v="Valor ACUMULADO en el trimestre de evaluación."/>
    <n v="4000000"/>
    <n v="2.6000000000000002E-2"/>
    <n v="4691003"/>
    <m/>
    <m/>
    <m/>
    <n v="0"/>
    <s v="Final año"/>
    <n v="0"/>
    <n v="0"/>
    <s v="La comunidad del canal creció sustancialmente, principalmente por la Baby Futbol. "/>
    <m/>
    <m/>
    <m/>
  </r>
  <r>
    <n v="14"/>
    <s v="PEI"/>
    <s v="3.4.6-COMUNICACIÓN PÚBLICA PARA EL FORTALECIMIENTO DE LA INSTITUCIONALIDAD Y LA CONFIANZA CIUDADANA"/>
    <x v="0"/>
    <x v="1"/>
    <x v="1"/>
    <s v="Tiempo de permanencia en la web"/>
    <s v="Medir el tiempo de permanencia en la página web  de Telemedellín"/>
    <s v="Eficiencia"/>
    <s v="Promedio de tiempo de permanencia en la página"/>
    <s v="Trimestral"/>
    <s v="Valor ACUMULADO en el trimestre de evaluación."/>
    <n v="100"/>
    <n v="1.95E-2"/>
    <n v="36"/>
    <m/>
    <m/>
    <m/>
    <n v="0"/>
    <s v="Final año"/>
    <n v="0"/>
    <n v="0"/>
    <s v="El tiempo de permanencia en la página bajo ya que las tranmisiones de programas y transmisiones especiales se ha bajado por no dejarlos por Derechos de Autor. "/>
    <m/>
    <m/>
    <m/>
  </r>
  <r>
    <n v="15"/>
    <s v="PEI"/>
    <s v="3.4.6-COMUNICACIÓN PÚBLICA PARA EL FORTALECIMIENTO DE LA INSTITUCIONALIDAD Y LA CONFIANZA CIUDADANA"/>
    <x v="0"/>
    <x v="1"/>
    <x v="1"/>
    <s v="Sesiones en la página web"/>
    <s v="Medir las sesiones en la página web"/>
    <s v="Eficiencia"/>
    <s v="Sumatoria de todos los visitantes en los canales de tráfico al portal"/>
    <s v="Trimestral"/>
    <s v="Valor alcanzado en cada trimestre. Si no se evaluó, es cero &quot;0&quot;"/>
    <n v="18000000"/>
    <n v="2.6000000000000002E-2"/>
    <n v="3468332"/>
    <m/>
    <m/>
    <m/>
    <n v="3468332"/>
    <s v="Suma"/>
    <n v="0.19268511111111111"/>
    <n v="5.0098128888888893E-3"/>
    <s v="Se ha alcanzado el tráfico esperado debido a un aumento de la frecuencia en las notas publicadas y a notas virales creadas por Inteligencia Artifical. "/>
    <m/>
    <m/>
    <m/>
  </r>
  <r>
    <n v="16"/>
    <s v="PEI"/>
    <s v="3.4.6-COMUNICACIÓN PÚBLICA PARA EL FORTALECIMIENTO DE LA INSTITUCIONALIDAD Y LA CONFIANZA CIUDADANA"/>
    <x v="1"/>
    <x v="1"/>
    <x v="1"/>
    <s v="Plataformas de contenido "/>
    <s v="Medir la cantidad de nuevas plataformas para podcast y contenido transmedia"/>
    <s v="Eficacia"/>
    <s v="Cantidad de nuevas plataformas para podcast y contenido transmedia"/>
    <s v="Trimestral"/>
    <s v="Valor alcanzado en cada trimestre. Si no se evaluó, es cero &quot;0&quot;"/>
    <n v="4"/>
    <n v="1.3000000000000001E-2"/>
    <n v="3"/>
    <m/>
    <m/>
    <m/>
    <n v="3"/>
    <s v="Suma"/>
    <n v="0.75"/>
    <n v="9.7500000000000017E-3"/>
    <s v="No se han creado nuevas cuentas en nuevas plataformas debido a que estamos fortaleciendo las actuales con repositorio de contenidos. "/>
    <m/>
    <m/>
    <m/>
  </r>
  <r>
    <n v="17"/>
    <s v="PEI"/>
    <s v="3.4.6-COMUNICACIÓN PÚBLICA PARA EL FORTALECIMIENTO DE LA INSTITUCIONALIDAD Y LA CONFIANZA CIUDADANA"/>
    <x v="0"/>
    <x v="1"/>
    <x v="1"/>
    <s v="Ingresos por plataformas digitales"/>
    <s v="Medir los ingresos económicos por plataformas digitales"/>
    <s v="Eficiencia"/>
    <s v="Sumatoria de la monetización de todas las redes y plataformas del Canal (En dolares USD)"/>
    <s v="Trimestral"/>
    <s v="Valor alcanzado en cada trimestre. Si no se evaluó, es cero &quot;0&quot;"/>
    <n v="45000"/>
    <n v="1.3000000000000001E-2"/>
    <n v="9600"/>
    <m/>
    <m/>
    <m/>
    <n v="9600"/>
    <s v="Suma"/>
    <n v="0.21333333333333335"/>
    <n v="2.7733333333333338E-3"/>
    <s v="La monetización está por encima de lo proyectado, debido al aumento del tráfico en el sitio web. "/>
    <m/>
    <m/>
    <m/>
  </r>
  <r>
    <n v="18"/>
    <s v="PEI"/>
    <s v="3.4.6-COMUNICACIÓN PÚBLICA PARA EL FORTALECIMIENTO DE LA INSTITUCIONALIDAD Y LA CONFIANZA CIUDADANA"/>
    <x v="0"/>
    <x v="2"/>
    <x v="2"/>
    <s v="Evaluación de imagen de Telemedellín  "/>
    <s v="Evaluar de percepción de favorabilidad de imagen de Telemedellín"/>
    <s v="Eficacia"/>
    <s v="Evaluación de percepción de favorabilidad de imagen de Telemedellín"/>
    <s v="Trimestral"/>
    <s v="Valor alcanzado en cada trimestre. Si no se evaluó, es cero &quot;0&quot;"/>
    <n v="0.74"/>
    <n v="2.6000000000000002E-2"/>
    <n v="0"/>
    <m/>
    <m/>
    <m/>
    <n v="0"/>
    <s v="Máximo"/>
    <n v="0"/>
    <n v="0"/>
    <s v="Para este primer semestre de 2025, no contamos aún con un análisis consolidado de percepción ciudadana, ya que nuestra principal fuente de referencia en esta materia es la encuesta “Medellín Cómo Vamos”, la cual aún no ha sido realizada en el presente año._x000a__x000a_Esta medición es clave para entender cómo la ciudadanía percibe la gestión del canal y el impacto de nuestros contenidos en la ciudad. Una vez se publique la nueva edición de la encuesta, retomaremos el análisis correspondiente, que será fundamental para ajustar nuestras estrategias de comunicación y seguir fortaleciendo el vínculo con nuestra audiencia."/>
    <m/>
    <m/>
    <m/>
  </r>
  <r>
    <n v="19"/>
    <s v="PEI"/>
    <s v="3.4.6-COMUNICACIÓN PÚBLICA PARA EL FORTALECIMIENTO DE LA INSTITUCIONALIDAD Y LA CONFIANZA CIUDADANA"/>
    <x v="0"/>
    <x v="2"/>
    <x v="2"/>
    <s v="Embajadores de marca"/>
    <s v="Evaluar la Participación de líderes de opinión en tácticas de relacionamiento. "/>
    <s v="Eficiencia"/>
    <s v="Sumatoria de participantes en la estrategia embajadores de marca"/>
    <s v="Trimestral"/>
    <s v="Valor alcanzado en cada trimestre. Si no se evaluó, es cero &quot;0&quot;"/>
    <n v="4"/>
    <n v="1.3000000000000001E-2"/>
    <n v="1"/>
    <m/>
    <m/>
    <m/>
    <n v="1"/>
    <s v="Suma"/>
    <n v="0.25"/>
    <n v="3.2500000000000003E-3"/>
    <s v="Alejandro Lopera, líder de opinión y embajador de marca del primer trimestre de 2025_x000a__x000a_Durante el primer trimestre de 2025, Alejandro Lopera se ha consolidado como nuestro líder de opinión y embajador de marca, gracias a su destacada labor como director y presentador del nuevo magacín de la mañana Hola Medallo._x000a__x000a_Con su carisma, conocimiento del territorio y cercanía con la audiencia, Alejandro ha liderado una estrategia de posicionamiento que nos ha permitido tener presencia en diversos medios de comunicación. Esto no solo ha fortalecido la visibilidad y recordación de Hola Medallo, sino que también ha contribuido de manera significativa a proyectar la gestión del canal, destacando nuestra parrilla de contenidos y el vínculo con la ciudadanía."/>
    <m/>
    <m/>
    <m/>
  </r>
  <r>
    <n v="20"/>
    <s v="PEI"/>
    <s v="3.4.6-COMUNICACIÓN PÚBLICA PARA EL FORTALECIMIENTO DE LA INSTITUCIONALIDAD Y LA CONFIANZA CIUDADANA"/>
    <x v="0"/>
    <x v="2"/>
    <x v="2"/>
    <s v="Visitantes Tour Telemedellín"/>
    <s v="Medir el número de visitantes al Tour Telemedellín"/>
    <s v="Eficacia"/>
    <s v="Sumatoria de visitantes anuales al Tour Telemedellín."/>
    <s v="Trimestral"/>
    <s v="Valor alcanzado en cada trimestre. Si no se evaluó, es cero &quot;0&quot;"/>
    <n v="8000"/>
    <n v="1.3000000000000001E-2"/>
    <n v="753"/>
    <m/>
    <m/>
    <m/>
    <n v="753"/>
    <s v="Suma"/>
    <n v="9.4125E-2"/>
    <n v="1.2236250000000001E-3"/>
    <s v="753 personas vivieron la experiencia del Tour Telemedellín, un recorrido que continúa consolidándose como una oportunidad para acercar a la ciudadanía al quehacer del canal, sus procesos de producción y su compromiso con lo público._x000a_Este número de visitantes es especialmente significativo si se tiene en cuenta que en esta época del año el público objetivo tradicional del tour —como instituciones educativas— suele estar en temporada de receso académico. Esta característica del calendario nos impulsa a explorar nuevas alternativas y formatos que nos permitan mantener la oferta activa y atractiva durante todo el año, diversificando las audiencias e integrando nuevas experiencias para públicos como familias, turistas y grupos comunitarios._x000a_El Tour Telemedellín sigue siendo una herramienta clave para fortalecer la relación con la ciudadanía y proyectar al canal como un espacio abierto, participativo y transparente. En los próximos meses continuaremos innovando en su formato y contenidos para seguir creciendo en alcance e impacto._x000a_"/>
    <m/>
    <m/>
    <m/>
  </r>
  <r>
    <n v="21"/>
    <s v="PEI"/>
    <s v="3.4.6-COMUNICACIÓN PÚBLICA PARA EL FORTALECIMIENTO DE LA INSTITUCIONALIDAD Y LA CONFIANZA CIUDADANA"/>
    <x v="0"/>
    <x v="2"/>
    <x v="2"/>
    <s v="Experiencias temáticas en el parque Telemedellín"/>
    <s v="Medir el numero de eventos propios realizados en el parque."/>
    <s v="Eficacia"/>
    <s v="Sumatoria de eventos propios realizados en el Parque"/>
    <s v="Trimestral"/>
    <s v="Valor alcanzado en cada trimestre. Si no se evaluó, es cero &quot;0&quot;"/>
    <n v="12"/>
    <n v="1.3000000000000001E-2"/>
    <n v="1"/>
    <m/>
    <m/>
    <m/>
    <n v="1"/>
    <s v="Suma"/>
    <n v="8.3333333333333329E-2"/>
    <n v="1.0833333333333333E-3"/>
    <s v="Durante el primer trimestre de 2025, desde Telemedellín adelantamos el proceso de estructuración de la agenda temática para los eventos que se desarrollarán en nuestro Canal Parque, con el propósito de ofrecer una programación cultural y ciudadana alineada con las dinámicas del territorio."/>
    <m/>
    <m/>
    <m/>
  </r>
  <r>
    <n v="22"/>
    <s v="PEI"/>
    <s v="3.4.6-COMUNICACIÓN PÚBLICA PARA EL FORTALECIMIENTO DE LA INSTITUCIONALIDAD Y LA CONFIANZA CIUDADANA"/>
    <x v="1"/>
    <x v="3"/>
    <x v="3"/>
    <s v="Inversión en actualización tecnológica"/>
    <s v="Medir la inversión económica en actualización tecnológica"/>
    <s v="Eficiencia"/>
    <s v="Sumatoria inversión económica en actualización tecnológica"/>
    <s v="Trimestral"/>
    <s v="Valor alcanzado en cada trimestre. Si no se evaluó, es cero &quot;0&quot;"/>
    <n v="800000000"/>
    <n v="3.2500000000000001E-2"/>
    <n v="249892000"/>
    <m/>
    <m/>
    <m/>
    <n v="249892000"/>
    <s v="Suma"/>
    <n v="0.312365"/>
    <n v="1.0151862500000001E-2"/>
    <s v="Se han venido ejecutando los proyectos de acuerod al plan de inversiones del 2025"/>
    <m/>
    <m/>
    <m/>
  </r>
  <r>
    <n v="23"/>
    <s v="PEI"/>
    <s v="3.4.6-COMUNICACIÓN PÚBLICA PARA EL FORTALECIMIENTO DE LA INSTITUCIONALIDAD Y LA CONFIANZA CIUDADANA"/>
    <x v="1"/>
    <x v="3"/>
    <x v="3"/>
    <s v="Proyectos 4RI"/>
    <s v="Medir los proyectos que involucren los componentes de la cuarta revolución industrial."/>
    <s v="Eficacia"/>
    <s v="Proyectos que involucren los componentes de la cuarta revolución industrial"/>
    <s v="Trimestral"/>
    <s v="Valor alcanzado en cada trimestre. Si no se evaluó, es cero &quot;0&quot;"/>
    <n v="2"/>
    <n v="1.3000000000000001E-2"/>
    <n v="0"/>
    <m/>
    <m/>
    <m/>
    <n v="0"/>
    <s v="Suma"/>
    <n v="0"/>
    <n v="0"/>
    <s v="Se vienen adelantando 2 proyectos de Inteleigencia artificial"/>
    <m/>
    <m/>
    <m/>
  </r>
  <r>
    <n v="24"/>
    <s v="PEI"/>
    <s v="3.4.6-COMUNICACIÓN PÚBLICA PARA EL FORTALECIMIENTO DE LA INSTITUCIONALIDAD Y LA CONFIANZA CIUDADANA"/>
    <x v="1"/>
    <x v="3"/>
    <x v="3"/>
    <s v="Horas en el satélite"/>
    <s v="Emitir horas en el satélite"/>
    <s v="Eficiencia"/>
    <s v="Sumatoria de horas al aíre en el satélite"/>
    <s v="Trimestral"/>
    <s v="Valor alcanzado en cada trimestre. Si no se evaluó, es cero &quot;0&quot;"/>
    <n v="8600"/>
    <n v="1.3000000000000001E-2"/>
    <n v="2160"/>
    <m/>
    <m/>
    <m/>
    <n v="2160"/>
    <s v="Suma"/>
    <n v="0.25116279069767444"/>
    <n v="3.2651162790697679E-3"/>
    <s v="La señal de satelite no presnto novedades en el periodo"/>
    <m/>
    <m/>
    <m/>
  </r>
  <r>
    <n v="25"/>
    <s v="PEI"/>
    <s v="3.4.6-COMUNICACIÓN PÚBLICA PARA EL FORTALECIMIENTO DE LA INSTITUCIONALIDAD Y LA CONFIANZA CIUDADANA"/>
    <x v="1"/>
    <x v="3"/>
    <x v="3"/>
    <s v="Proyectos ejecutados de transformación digital"/>
    <s v="Medir los proyectos ejecutados de transformación digital"/>
    <s v="Eficacia"/>
    <s v="Proyectos ejecutados de transformación digital"/>
    <s v="Trimestral"/>
    <s v="Valor alcanzado en cada trimestre. Si no se evaluó, es cero &quot;0&quot;"/>
    <n v="15"/>
    <n v="2.6000000000000002E-2"/>
    <n v="0"/>
    <m/>
    <m/>
    <m/>
    <n v="0"/>
    <s v="Suma"/>
    <n v="0"/>
    <n v="0"/>
    <s v="Al cierre de primer trimestre no se ha finalizado proyectos de transformación digital, pero se han comenzado diferentes proyectos que se contempla finalizarlos al cierre del segudo trimestre, tales como Plan de IA y página web. Igualmente se trabaja en mejoras a proyectos en funcionamiento como Plataforma Administrativa, Plataforma Pública y SIGDOCS."/>
    <m/>
    <m/>
    <m/>
  </r>
  <r>
    <n v="26"/>
    <s v="PEI"/>
    <s v="3.4.6-COMUNICACIÓN PÚBLICA PARA EL FORTALECIMIENTO DE LA INSTITUCIONALIDAD Y LA CONFIANZA CIUDADANA"/>
    <x v="0"/>
    <x v="4"/>
    <x v="0"/>
    <s v="Talleres realizados TM Academy"/>
    <s v="Medir los talleres realizados."/>
    <s v="Eficacia"/>
    <s v="Sumatoria de talleres realizados"/>
    <s v="Trimestral"/>
    <s v="Valor alcanzado en cada trimestre. Si no se evaluó, es cero &quot;0&quot;"/>
    <n v="12"/>
    <n v="1.3000000000000001E-2"/>
    <n v="0"/>
    <m/>
    <m/>
    <m/>
    <n v="0"/>
    <s v="Suma"/>
    <n v="0"/>
    <n v="0"/>
    <s v="Durante este periodo no se reflejan talleres realizados. Esto se debe a que nos encontramos en etapa de planeación. En el proximo ciclo se cumpliran con los objetivos. "/>
    <m/>
    <m/>
    <m/>
  </r>
  <r>
    <n v="27"/>
    <s v="PEI"/>
    <s v="3.4.6-COMUNICACIÓN PÚBLICA PARA EL FORTALECIMIENTO DE LA INSTITUCIONALIDAD Y LA CONFIANZA CIUDADANA"/>
    <x v="0"/>
    <x v="4"/>
    <x v="0"/>
    <s v="Asistentes Talleres TM Academy"/>
    <s v="Medir los asistentes actividades TM Academy."/>
    <s v="Eficacia"/>
    <s v="Sumatoria de personas asistentes a las actividades"/>
    <s v="Trimestral"/>
    <s v="Valor alcanzado en cada trimestre. Si no se evaluó, es cero &quot;0&quot;"/>
    <n v="250"/>
    <n v="1.95E-2"/>
    <n v="0"/>
    <m/>
    <m/>
    <m/>
    <n v="0"/>
    <s v="Suma"/>
    <n v="0"/>
    <n v="0"/>
    <s v="Durante este periodo, no contamos con asistentes en los talleres debido a que no se realizaron talleres. Ni actividades academicas. "/>
    <m/>
    <m/>
    <m/>
  </r>
  <r>
    <n v="28"/>
    <s v="PEI"/>
    <s v="3.4.6-COMUNICACIÓN PÚBLICA PARA EL FORTALECIMIENTO DE LA INSTITUCIONALIDAD Y LA CONFIANZA CIUDADANA"/>
    <x v="0"/>
    <x v="4"/>
    <x v="0"/>
    <s v="Contenidos producidos de TM Academy"/>
    <s v="Medir los contenidos audiovisuales TM Academy. "/>
    <s v="Eficiencia"/>
    <s v="Sumatoria de contenidos audiovisuales realizados"/>
    <s v="Trimestral"/>
    <s v="Valor alcanzado en cada trimestre. Si no se evaluó, es cero &quot;0&quot;"/>
    <n v="12"/>
    <n v="1.3000000000000001E-2"/>
    <n v="5"/>
    <m/>
    <m/>
    <m/>
    <n v="5"/>
    <s v="Suma"/>
    <n v="0.41666666666666669"/>
    <n v="5.4166666666666677E-3"/>
    <s v="Este indicador alcanzó 5 contenidos audiovisuales, lo que evidencia un avance en la producción prevista. Y muestra cumplimiento parcial de la meta. "/>
    <m/>
    <m/>
    <m/>
  </r>
  <r>
    <n v="29"/>
    <s v="PEI"/>
    <s v="3.4.6-COMUNICACIÓN PÚBLICA PARA EL FORTALECIMIENTO DE LA INSTITUCIONALIDAD Y LA CONFIANZA CIUDADANA"/>
    <x v="0"/>
    <x v="4"/>
    <x v="4"/>
    <s v="Sostenibilidad y Compromiso Social TM"/>
    <s v="Medir las actividades de sostenibilidad y compromiso social"/>
    <s v="Eficacia"/>
    <s v="Sumatoria de actividades de sostenibilidad y compromiso social"/>
    <s v="Trimestral"/>
    <s v="Valor alcanzado en cada trimestre. Si no se evaluó, es cero &quot;0&quot;"/>
    <n v="4"/>
    <n v="1.95E-2"/>
    <n v="0"/>
    <m/>
    <m/>
    <m/>
    <n v="0"/>
    <s v="Suma"/>
    <n v="0"/>
    <n v="0"/>
    <s v="El indicador de sostenibilidad y compromiso social se mantuvo en 0, lo que indica que no se desarrollaron acciones vinculadas a este componente durante este primer trimestre. Esto se da limitaciones de Planeación y articulación. Para el próximo ciclo incorporaremos actividades."/>
    <m/>
    <m/>
    <m/>
  </r>
  <r>
    <n v="30"/>
    <s v="PEI"/>
    <s v="3.4.6-COMUNICACIÓN PÚBLICA PARA EL FORTALECIMIENTO DE LA INSTITUCIONALIDAD Y LA CONFIANZA CIUDADANA"/>
    <x v="2"/>
    <x v="5"/>
    <x v="5"/>
    <s v="Satisfacción colaboradores de Telemedellín"/>
    <s v="Medir la satisfacción colaboradores de Telemedellín"/>
    <s v="Eficacia"/>
    <s v="% de satisfacción global"/>
    <s v="Trimestral"/>
    <s v="Valor alcanzado en cada trimestre. Si no se evaluó, es cero &quot;0&quot;"/>
    <n v="0.7"/>
    <n v="1.3000000000000001E-2"/>
    <n v="0"/>
    <m/>
    <m/>
    <m/>
    <n v="0"/>
    <s v="Máximo"/>
    <n v="0"/>
    <n v="0"/>
    <s v="se tiene proyectado realizar la evaluación en junio por medio de una encuesta, se llevará a cabo un análisis de la satisfacción de los colaboradores de Telemedellín respecto a las actividades de bienestar implementadas. Este ejercicio tiene como objetivo identificar fortalezas y áreas de mejora en las iniciativas de bienestar."/>
    <m/>
    <m/>
    <m/>
  </r>
  <r>
    <n v="31"/>
    <s v="PEI"/>
    <s v="3.4.6-COMUNICACIÓN PÚBLICA PARA EL FORTALECIMIENTO DE LA INSTITUCIONALIDAD Y LA CONFIANZA CIUDADANA"/>
    <x v="2"/>
    <x v="5"/>
    <x v="5"/>
    <s v="Personas impactadas en ruta de la felicidad"/>
    <s v="Medir las personas impactadas con las actividades realizadas"/>
    <s v="Eficacia"/>
    <s v="Sumatoria de colaboradores que participaron en actividades de bienestar/# de colaboradores totales) x 100 %"/>
    <s v="Trimestral"/>
    <s v="Valor ACUMULADO en el trimestre de evaluación."/>
    <n v="0.8"/>
    <n v="1.3000000000000001E-2"/>
    <n v="0.74"/>
    <m/>
    <m/>
    <m/>
    <n v="0.74"/>
    <s v="Máximo"/>
    <n v="0.92499999999999993"/>
    <n v="1.2025000000000001E-2"/>
    <s v="Durante el primer trimestre, se organizaron varios eventos con alta participación, destacando las celebraciones de días especiales como el Día de la Mujer, el Día del Hombre y el Día de la Felicidad. Estas actividades fomentaron el bienestar y la cohesión del equipo."/>
    <m/>
    <m/>
    <m/>
  </r>
  <r>
    <n v="32"/>
    <s v="PEI"/>
    <s v="3.4.6-COMUNICACIÓN PÚBLICA PARA EL FORTALECIMIENTO DE LA INSTITUCIONALIDAD Y LA CONFIANZA CIUDADANA"/>
    <x v="2"/>
    <x v="5"/>
    <x v="5"/>
    <s v="Practicantes"/>
    <s v="Medir la contratación practicantes"/>
    <s v="Eficiencia"/>
    <s v="# de practicantes contratados/sobre # de vacante para practicantes) x 100%"/>
    <s v="Trimestral"/>
    <s v="Valor alcanzado en cada trimestre. Si no se evaluó, es cero &quot;0&quot;"/>
    <n v="0.7"/>
    <n v="1.3000000000000001E-2"/>
    <n v="0.91"/>
    <m/>
    <m/>
    <m/>
    <n v="0.91"/>
    <s v="Promedio"/>
    <n v="1.3"/>
    <n v="1.3000000000000001E-2"/>
    <s v="en el primer trimetre se contratatron 10 practicantes de los 11 que se tenian proyectados para el primere semestre "/>
    <m/>
    <m/>
    <m/>
  </r>
  <r>
    <n v="33"/>
    <s v="PEI"/>
    <s v="3.4.6-COMUNICACIÓN PÚBLICA PARA EL FORTALECIMIENTO DE LA INSTITUCIONALIDAD Y LA CONFIANZA CIUDADANA"/>
    <x v="3"/>
    <x v="6"/>
    <x v="4"/>
    <s v="Utilidad antes de impuesto"/>
    <s v="Evaluar la utilidad antes de impuesto"/>
    <s v="Eficiencia"/>
    <s v="Resultado de la utilidad antes de impuesto"/>
    <s v="Trimestral"/>
    <s v="Valor ACUMULADO en el trimestre de evaluación."/>
    <s v="&gt;0"/>
    <n v="6.5000000000000006E-3"/>
    <n v="-2859236860.3600001"/>
    <m/>
    <m/>
    <m/>
    <n v="0"/>
    <s v="Final año"/>
    <n v="0"/>
    <n v="0"/>
    <s v="El primer trimestre se caracterizó por el pleno funcionamiento del canal, lo que elevó considerablemente los costos y gastos. Aunque los contratos interadministrativos ya están en ejecución, los ingresos percibidos no suplen los egresos actuales"/>
    <m/>
    <m/>
    <m/>
  </r>
  <r>
    <n v="34"/>
    <s v="PEI"/>
    <s v="3.4.6-COMUNICACIÓN PÚBLICA PARA EL FORTALECIMIENTO DE LA INSTITUCIONALIDAD Y LA CONFIANZA CIUDADANA"/>
    <x v="3"/>
    <x v="6"/>
    <x v="4"/>
    <s v="Margen utilidad bruta"/>
    <s v="Evaluar el margen utilidad bruta"/>
    <s v="Eficiencia"/>
    <s v="(Utilidad operacional / Ingresos netos) x 100%"/>
    <s v="Trimestral"/>
    <s v="Valor ACUMULADO en el trimestre de evaluación."/>
    <s v="&gt;26%"/>
    <n v="6.5000000000000006E-3"/>
    <n v="-0.89"/>
    <m/>
    <m/>
    <m/>
    <n v="0"/>
    <s v="Final año"/>
    <n v="0"/>
    <n v="0"/>
    <s v="Debido a una disminución de más del 50% en las transferencias y a que el modelo de los contratos interadministrativos retrasa su facturación, los ingresos que el canal percibe actualmente no son suficientes para cubrir sus gastos operativos"/>
    <m/>
    <m/>
    <m/>
  </r>
  <r>
    <n v="35"/>
    <s v="PEI"/>
    <s v="3.4.6-COMUNICACIÓN PÚBLICA PARA EL FORTALECIMIENTO DE LA INSTITUCIONALIDAD Y LA CONFIANZA CIUDADANA"/>
    <x v="3"/>
    <x v="6"/>
    <x v="4"/>
    <s v="Gastos de funcionamiento"/>
    <s v="Evaluar la ejecución de gastos de funcionamiento"/>
    <s v="Eficiencia"/>
    <s v="(Gastos/ Ingresos netos) x 100%"/>
    <s v="Trimestral"/>
    <s v="Valor ACUMULADO en el trimestre de evaluación."/>
    <s v="&lt;25%"/>
    <n v="6.5000000000000006E-3"/>
    <n v="0.55700000000000005"/>
    <m/>
    <m/>
    <m/>
    <n v="0.55700000000000005"/>
    <s v="Final año"/>
    <n v="0.46678635547576297"/>
    <n v="3.0341113105924597E-3"/>
    <s v="Debido a una disminución de más del 50% en las transferencias y a que el modelo de los contratos interadministrativos retrasa su facturación, los ingresos que el canal percibe actualmente no son suficientes para cubrir sus gastos operativos"/>
    <m/>
    <m/>
    <m/>
  </r>
  <r>
    <n v="36"/>
    <s v="PEI"/>
    <s v="3.4.6-COMUNICACIÓN PÚBLICA PARA EL FORTALECIMIENTO DE LA INSTITUCIONALIDAD Y LA CONFIANZA CIUDADANA"/>
    <x v="3"/>
    <x v="6"/>
    <x v="4"/>
    <s v="Ejecución de ingresos"/>
    <s v="Medir la ejecución de ingresos"/>
    <s v="Eficiencia"/>
    <s v="(Ingresos ejecutados / Ingresos presupuestados) x 100%"/>
    <s v="Trimestral"/>
    <s v="Valor ACUMULADO en el trimestre de evaluación."/>
    <s v="&gt;97%"/>
    <n v="3.2500000000000003E-3"/>
    <n v="0.12873281797045796"/>
    <m/>
    <m/>
    <m/>
    <n v="0"/>
    <s v="Final año"/>
    <n v="0"/>
    <n v="0"/>
    <s v="Para el primer trimestre los ingresos por convenios es baja dado que la suscripción de contratos apenas está comenzando."/>
    <m/>
    <m/>
    <m/>
  </r>
  <r>
    <n v="37"/>
    <s v="PEI"/>
    <s v="3.4.6-COMUNICACIÓN PÚBLICA PARA EL FORTALECIMIENTO DE LA INSTITUCIONALIDAD Y LA CONFIANZA CIUDADANA"/>
    <x v="3"/>
    <x v="6"/>
    <x v="4"/>
    <s v="Ejecución de egresos"/>
    <s v="Medir la ejecución de egresos"/>
    <s v="Eficiencia"/>
    <s v="(Egresos ejecutados / egresos presupuestados) x 100%"/>
    <s v="Trimestral"/>
    <s v="Valor ACUMULADO en el trimestre de evaluación."/>
    <s v="&gt;90%"/>
    <n v="3.2500000000000003E-3"/>
    <n v="0.45375924218623048"/>
    <m/>
    <m/>
    <m/>
    <n v="0"/>
    <s v="Final año"/>
    <n v="0"/>
    <n v="0"/>
    <s v="La ejecución de gastos es superior a la ejecución de ingresos ya que desde los primeros meses se comprometen recursos para contratos como la empresa de servicios temporales, contratos para la realización de programas propios y en menor medida para los contratos administrativos ya suscritos que se deben comenzar a ejecutar."/>
    <m/>
    <m/>
    <m/>
  </r>
  <r>
    <n v="38"/>
    <s v="PEI"/>
    <s v="3.4.6-COMUNICACIÓN PÚBLICA PARA EL FORTALECIMIENTO DE LA INSTITUCIONALIDAD Y LA CONFIANZA CIUDADANA"/>
    <x v="3"/>
    <x v="6"/>
    <x v="4"/>
    <s v="Ejecución de la inversión"/>
    <s v="Medir la ejecución de la inversión"/>
    <s v="Eficiencia"/>
    <s v="(Egresos ejecutados de inversión / egresos presupuestados de inversión) x 100%"/>
    <s v="Trimestral"/>
    <s v="Valor ACUMULADO en el trimestre de evaluación."/>
    <s v="&gt;90%"/>
    <n v="6.5000000000000006E-3"/>
    <n v="0.65362599435489843"/>
    <m/>
    <m/>
    <m/>
    <n v="0"/>
    <s v="Final año"/>
    <n v="0"/>
    <n v="0"/>
    <s v="La ejecución de gastos de inversión es alta ya que desde los primeros meses se comprometen recursos para contratos como la empresa de servicios temporales, transporte y contratos para la realización de programas propios"/>
    <m/>
    <m/>
    <m/>
  </r>
  <r>
    <n v="39"/>
    <s v="PEI"/>
    <s v="3.4.6-COMUNICACIÓN PÚBLICA PARA EL FORTALECIMIENTO DE LA INSTITUCIONALIDAD Y LA CONFIANZA CIUDADANA"/>
    <x v="4"/>
    <x v="6"/>
    <x v="6"/>
    <s v="Ingresos por contratos"/>
    <s v="Medir los ingresos por contratos efectivos de cada vigencia"/>
    <s v="Eficacia"/>
    <s v="Sumatoria de los ingresos por contratos cada vigencia (Firmados)"/>
    <s v="Trimestral"/>
    <s v="Valor alcanzado en cada trimestre. Si no se evaluó, es cero &quot;0&quot;"/>
    <n v="35000000000"/>
    <n v="1.95E-2"/>
    <n v="15266844405"/>
    <m/>
    <m/>
    <m/>
    <n v="15266844405"/>
    <s v="Suma"/>
    <n v="0.43619555442857144"/>
    <n v="8.5058133113571424E-3"/>
    <s v="Ánalisis de contratos firmados y en ejecución - diferente a el proceso de facturación y ejecución. _x000a_Central Medios: _x000a_Contratos: $11.045.941.414_x000a_Icentivos: $92.856.018_x000a_Negocios Audiovisuales:_x000a_Contratos: $3.555.578.942_x000a_Pauta: $215.687.958_x000a_Proyectos:_x000a_Contratos: $253.793.714_x000a_Experiencias: $6.545.000_x000a_Alquiler de espacios: $96.441.359 "/>
    <m/>
    <m/>
    <m/>
  </r>
  <r>
    <n v="40"/>
    <s v="PEI"/>
    <s v="3.4.6-COMUNICACIÓN PÚBLICA PARA EL FORTALECIMIENTO DE LA INSTITUCIONALIDAD Y LA CONFIANZA CIUDADANA"/>
    <x v="5"/>
    <x v="6"/>
    <x v="6"/>
    <s v="Clientes satisfechos"/>
    <s v="Medir la satisfacción de clientes de negocios y experiencias_x000a_"/>
    <s v="Eficacia"/>
    <s v="(Clientes satisfechos / Clientes encuestados) x 100%"/>
    <s v="Trimestral"/>
    <s v="Valor alcanzado en cada trimestre. Si no se evaluó, es cero &quot;0&quot;"/>
    <n v="0.81"/>
    <n v="6.4999999999999997E-3"/>
    <n v="0"/>
    <m/>
    <m/>
    <m/>
    <n v="0"/>
    <s v="Máximo"/>
    <n v="0"/>
    <n v="0"/>
    <s v="Las encuestas de satisfacción de clientes se llevaran a cabo de manera general y única, estandarizando el proceso según indicaciones del área de planeación, las mismas se llevaran a cabo a partir del segundo trimestre "/>
    <m/>
    <m/>
    <m/>
  </r>
  <r>
    <n v="41"/>
    <s v="PEI"/>
    <s v="3.4.6-COMUNICACIÓN PÚBLICA PARA EL FORTALECIMIENTO DE LA INSTITUCIONALIDAD Y LA CONFIANZA CIUDADANA"/>
    <x v="4"/>
    <x v="6"/>
    <x v="6"/>
    <s v="Nuevos productos y experiencias  "/>
    <s v="Desarrollar nuevos productos y experiencias  "/>
    <s v="Eficacia"/>
    <s v="Sumatoria de nuevos servicios y experiencias desarrollados y operando"/>
    <s v="Trimestral"/>
    <s v="Valor alcanzado en cada trimestre. Si no se evaluó, es cero &quot;0&quot;"/>
    <n v="2"/>
    <n v="6.5000000000000006E-3"/>
    <n v="0"/>
    <m/>
    <m/>
    <m/>
    <n v="0"/>
    <s v="Suma"/>
    <n v="0"/>
    <n v="0"/>
    <s v="Desde la línea de proyectos se han desarrollado 6 propuestas entre academicas, ambientales y sostenibles desde las necesidades comunicacionales de los clientes a la espera de aprobación. "/>
    <m/>
    <m/>
    <m/>
  </r>
  <r>
    <n v="42"/>
    <s v="PEI"/>
    <s v="3.4.6-COMUNICACIÓN PÚBLICA PARA EL FORTALECIMIENTO DE LA INSTITUCIONALIDAD Y LA CONFIANZA CIUDADANA"/>
    <x v="4"/>
    <x v="6"/>
    <x v="6"/>
    <s v="Utilidad general Agencia y central de medios"/>
    <s v="Evaluar la utilidad neta de negocios y experiencias TM_x000a_"/>
    <s v="Eficiencia"/>
    <s v="(Ingresos/(costos más gastos) -1) * 100%"/>
    <s v="Trimestral"/>
    <s v="Valor ACUMULADO en el trimestre de evaluación."/>
    <n v="0.11"/>
    <n v="1.2999999999999999E-2"/>
    <n v="0"/>
    <m/>
    <m/>
    <m/>
    <n v="0"/>
    <s v="Final año"/>
    <n v="0"/>
    <n v="0"/>
    <s v="El ejercicio de rentabiliad está siendo revisado y estructurado por el área financiera del canal, dichos datos estaran disponibles en el segundo trimistre "/>
    <m/>
    <m/>
    <m/>
  </r>
  <r>
    <n v="43"/>
    <s v="Plan de acción"/>
    <s v="3.4.6-COMUNICACIÓN PÚBLICA PARA EL FORTALECIMIENTO DE LA INSTITUCIONALIDAD Y LA CONFIANZA CIUDADANA"/>
    <x v="4"/>
    <x v="6"/>
    <x v="6"/>
    <s v="Ingresos por línea de Agencia -Central de Medios (Administración delegada)"/>
    <s v="Medir los ingresos efectivos por la línea de agencia - Contratos administración Delegada"/>
    <s v="Eficacia"/>
    <s v="Sumatoria de los ingresos  por contratos efectivos  línea de agencia cada vigencia (Facturados)"/>
    <s v="Trimestral"/>
    <s v="Valor alcanzado en cada trimestre. Si no se evaluó, es cero &quot;0&quot;"/>
    <n v="13300000000"/>
    <n v="2.8000000000000004E-3"/>
    <n v="4242718668"/>
    <m/>
    <m/>
    <m/>
    <n v="4242718668"/>
    <s v="Suma"/>
    <n v="0.31900140360902257"/>
    <n v="8.9320393010526328E-4"/>
    <s v="Esto tiene relación con los contrados firmados y facturados, dicha facturación corresponde a recursos a administrar en el primer trimistre no se facturaron honorarios "/>
    <m/>
    <m/>
    <m/>
  </r>
  <r>
    <n v="44"/>
    <s v="Plan de acción"/>
    <s v="3.4.6-COMUNICACIÓN PÚBLICA PARA EL FORTALECIMIENTO DE LA INSTITUCIONALIDAD Y LA CONFIANZA CIUDADANA"/>
    <x v="4"/>
    <x v="6"/>
    <x v="6"/>
    <s v="Ingresos por línea de incentivos publicitarios"/>
    <s v="Medir los ingresos efectivos por la línea de incentivos publicitarios"/>
    <s v="Eficacia"/>
    <s v="Sumatoria de los ingresos por línea incentivos publicitarios cada vigencia (Facturados)"/>
    <s v="Trimestral"/>
    <s v="Valor alcanzado en cada trimestre. Si no se evaluó, es cero &quot;0&quot;"/>
    <n v="500000000"/>
    <n v="2.8000000000000004E-3"/>
    <n v="76369410"/>
    <m/>
    <m/>
    <m/>
    <n v="76369410"/>
    <s v="Suma"/>
    <n v="0.15273882"/>
    <n v="4.2766869600000006E-4"/>
    <s v="Hace relacion a los incentivos facturados en la presentes vigencia "/>
    <m/>
    <m/>
    <m/>
  </r>
  <r>
    <n v="45"/>
    <s v="Plan de acción"/>
    <s v="3.4.6-COMUNICACIÓN PÚBLICA PARA EL FORTALECIMIENTO DE LA INSTITUCIONALIDAD Y LA CONFIANZA CIUDADANA"/>
    <x v="4"/>
    <x v="6"/>
    <x v="6"/>
    <s v="Ingresos por proyectos comerciales"/>
    <s v="Medir los ingresos efectivos por la línea de proyectos comerciales"/>
    <s v="Eficacia"/>
    <s v="Sumatoria de los ingresos por contratos efectivos línea proyectos comerciales (Facturados)"/>
    <s v="Trimestral"/>
    <s v="Valor alcanzado en cada trimestre. Si no se evaluó, es cero &quot;0&quot;"/>
    <n v="12400000000"/>
    <n v="2.8000000000000004E-3"/>
    <n v="0"/>
    <m/>
    <m/>
    <m/>
    <n v="0"/>
    <s v="Suma"/>
    <n v="0"/>
    <n v="0"/>
    <s v="Esta línea obedece a proyectos por contratación de administración delegada difrentes a los ejecutados en la línea de central de medios y agencia, en el primer trimstre se adelantan gestiones que posibiliten la firma de los mismos "/>
    <m/>
    <m/>
    <m/>
  </r>
  <r>
    <n v="46"/>
    <s v="Plan de acción"/>
    <s v="3.4.6-COMUNICACIÓN PÚBLICA PARA EL FORTALECIMIENTO DE LA INSTITUCIONALIDAD Y LA CONFIANZA CIUDADANA"/>
    <x v="4"/>
    <x v="6"/>
    <x v="6"/>
    <s v="Ingresos por línea alquiler de espacios y experiencias propias"/>
    <s v="Medir los ingresos efectivos por la línea de alquiler de espacios"/>
    <s v="Eficacia"/>
    <s v="Sumatoria de los ingresos por línea de alquiler de espacios y experiencias propias (Facturados)"/>
    <s v="Trimestral"/>
    <s v="Valor alcanzado en cada trimestre. Si no se evaluó, es cero &quot;0&quot;"/>
    <n v="900000000"/>
    <n v="2.8000000000000004E-3"/>
    <n v="72208120"/>
    <m/>
    <m/>
    <m/>
    <n v="72208120"/>
    <s v="Suma"/>
    <n v="8.0231244444444447E-2"/>
    <n v="2.2464748444444449E-4"/>
    <m/>
    <m/>
    <m/>
    <m/>
  </r>
  <r>
    <n v="47"/>
    <s v="Plan de acción"/>
    <s v="3.4.6-COMUNICACIÓN PÚBLICA PARA EL FORTALECIMIENTO DE LA INSTITUCIONALIDAD Y LA CONFIANZA CIUDADANA"/>
    <x v="4"/>
    <x v="6"/>
    <x v="6"/>
    <s v="Ingresos por línea de servicios audiovisuales"/>
    <s v="Medir los ingresos efectivos por la línea de servicios audiovisuales"/>
    <s v="Eficacia"/>
    <s v="Sumatoria de los ingresos por línea de servicios audiovisuales  (Facturados)"/>
    <s v="Trimestral"/>
    <s v="Valor alcanzado en cada trimestre. Si no se evaluó, es cero &quot;0&quot;"/>
    <n v="8930000000"/>
    <n v="2.8000000000000004E-3"/>
    <n v="358374470"/>
    <m/>
    <m/>
    <m/>
    <n v="358374470"/>
    <s v="Suma"/>
    <n v="4.01315195968645E-2"/>
    <n v="1.1236825487122061E-4"/>
    <s v="Este indicador hace relación a lo facturado, sin embargo existen contratos firmados de los cuales se está haciendo la ejecución y posterior faturación "/>
    <m/>
    <m/>
    <m/>
  </r>
  <r>
    <n v="48"/>
    <s v="Plan de acción"/>
    <s v="3.4.6-COMUNICACIÓN PÚBLICA PARA EL FORTALECIMIENTO DE LA INSTITUCIONALIDAD Y LA CONFIANZA CIUDADANA"/>
    <x v="4"/>
    <x v="6"/>
    <x v="6"/>
    <s v="Ingresos por línea de pauta comercial emitida a clientes"/>
    <s v="Medir los ingresos efectivos por la línea de pauta emitida a clientes"/>
    <s v="Eficacia"/>
    <s v="Sumatoria de los ingresos por línea de pauta comercial  (Facturados)"/>
    <s v="Trimestral"/>
    <s v="Valor alcanzado en cada trimestre. Si no se evaluó, es cero &quot;0&quot;"/>
    <n v="600000000"/>
    <n v="2.8000000000000004E-3"/>
    <n v="215687958"/>
    <m/>
    <m/>
    <m/>
    <n v="215687958"/>
    <s v="Suma"/>
    <n v="0.35947993"/>
    <n v="1.0065438040000002E-3"/>
    <m/>
    <m/>
    <m/>
    <m/>
  </r>
  <r>
    <n v="53"/>
    <s v="Plan de acción"/>
    <s v="3.4.6-COMUNICACIÓN PÚBLICA PARA EL FORTALECIMIENTO DE LA INSTITUCIONALIDAD Y LA CONFIANZA CIUDADANA"/>
    <x v="5"/>
    <x v="6"/>
    <x v="6"/>
    <s v="Indice de satisfacción Cliente interno"/>
    <s v="Medir la satisfacción clientes internos"/>
    <s v="Eficiencia"/>
    <s v="% de satisfacción por dependencia"/>
    <s v="Trimestral"/>
    <s v="Valor alcanzado en cada trimestre. Si no se evaluó, es cero &quot;0&quot;"/>
    <n v="0.85"/>
    <n v="1.3125000000000003E-2"/>
    <n v="0"/>
    <m/>
    <m/>
    <m/>
    <n v="0"/>
    <s v="Máximo"/>
    <n v="0"/>
    <n v="0"/>
    <s v="Se desarrollará en el transcurso de la vigencia. "/>
    <m/>
    <m/>
    <m/>
  </r>
  <r>
    <n v="54"/>
    <s v="Plan de acción"/>
    <s v="3.4.6-COMUNICACIÓN PÚBLICA PARA EL FORTALECIMIENTO DE LA INSTITUCIONALIDAD Y LA CONFIANZA CIUDADANA"/>
    <x v="5"/>
    <x v="6"/>
    <x v="6"/>
    <s v="Mapa de riesgos"/>
    <s v="Revisar y/o actualizar los mapas de riesgos del área"/>
    <s v="Efectividad"/>
    <s v="Mapas de riesgos revisado y/o actualizados"/>
    <s v="Trimestral"/>
    <s v="Valor alcanzado en cada trimestre. Si no se evaluó, es cero &quot;0&quot;"/>
    <n v="1"/>
    <n v="3.3250000000000003E-3"/>
    <n v="1"/>
    <m/>
    <m/>
    <m/>
    <n v="1"/>
    <s v="Suma"/>
    <n v="1"/>
    <n v="3.3250000000000003E-3"/>
    <s v="Gestionado"/>
    <m/>
    <m/>
    <m/>
  </r>
  <r>
    <n v="55"/>
    <s v="Plan de acción"/>
    <s v="3.4.6-COMUNICACIÓN PÚBLICA PARA EL FORTALECIMIENTO DE LA INSTITUCIONALIDAD Y LA CONFIANZA CIUDADANA"/>
    <x v="5"/>
    <x v="6"/>
    <x v="7"/>
    <s v="Actividades FURAG - MIPG"/>
    <s v="Evaluar la ejecución actividades planeadas en Furag y MIPG"/>
    <s v="Eficiencia"/>
    <s v="# Actividades realizadas/# Actividades planeadas "/>
    <s v="Trimestral"/>
    <s v="Valor ACUMULADO en el trimestre de evaluación."/>
    <n v="1"/>
    <n v="5.9500000000000013E-3"/>
    <n v="0.35"/>
    <m/>
    <m/>
    <m/>
    <n v="0.35"/>
    <s v="Acumulado"/>
    <n v="0.35"/>
    <n v="2.0825000000000001E-3"/>
    <s v="Se logró un avance del 35% respecto a las actividades planeadas. Aunque hay progreso, se requiere acelerar la ejecución en los próximos trimestres para alcanzar la meta anual."/>
    <m/>
    <m/>
    <m/>
  </r>
  <r>
    <n v="56"/>
    <s v="Plan de acción"/>
    <s v="3.4.6-COMUNICACIÓN PÚBLICA PARA EL FORTALECIMIENTO DE LA INSTITUCIONALIDAD Y LA CONFIANZA CIUDADANA"/>
    <x v="5"/>
    <x v="6"/>
    <x v="7"/>
    <s v="Auditorías control interno"/>
    <s v="Medir la elaboración y entrega de informes de auditorías, por el sistema de Control Interno a Telemedellín."/>
    <s v="Eficiencia"/>
    <s v="# de auditorías realizadas / # auditorias programadas"/>
    <s v="Trimestral"/>
    <s v="Valor ACUMULADO en el trimestre de evaluación."/>
    <n v="1"/>
    <n v="5.8333333333333336E-3"/>
    <n v="0.1"/>
    <m/>
    <m/>
    <m/>
    <n v="0.1"/>
    <s v="Acumulado"/>
    <n v="0.1"/>
    <n v="5.8333333333333338E-4"/>
    <s v="El cumplimiento es bajo (10%). Se evidencia un retraso en la ejecución "/>
    <m/>
    <m/>
    <m/>
  </r>
  <r>
    <n v="57"/>
    <s v="Plan de acción"/>
    <s v="3.4.6-COMUNICACIÓN PÚBLICA PARA EL FORTALECIMIENTO DE LA INSTITUCIONALIDAD Y LA CONFIANZA CIUDADANA"/>
    <x v="5"/>
    <x v="6"/>
    <x v="7"/>
    <s v="Cumplimiento en el desarrollo del plan de trabajo de la OCI"/>
    <s v="Realizar todas las actividades programadas en el plan para el año"/>
    <s v="Eficiencia"/>
    <s v="Actividades Terminadas / Actividades Programadas"/>
    <s v="Trimestral"/>
    <s v="Valor ACUMULADO en el trimestre de evaluación."/>
    <n v="1"/>
    <n v="5.8333333333333336E-3"/>
    <n v="0.25"/>
    <m/>
    <m/>
    <m/>
    <n v="0.25"/>
    <s v="Acumulado"/>
    <n v="0.25"/>
    <n v="1.4583333333333334E-3"/>
    <s v="Se ha cumplido con las actividades del plan anual. Se debe reforzar el cumplimiento de las programaciones para no comprometer el cierre del año."/>
    <m/>
    <m/>
    <m/>
  </r>
  <r>
    <n v="58"/>
    <s v="Plan de acción"/>
    <s v="3.4.6-COMUNICACIÓN PÚBLICA PARA EL FORTALECIMIENTO DE LA INSTITUCIONALIDAD Y LA CONFIANZA CIUDADANA"/>
    <x v="5"/>
    <x v="6"/>
    <x v="7"/>
    <s v="Mapa de riesgos"/>
    <s v="Revisar y/o actualizar los mapas de riesgos de Telemedellín"/>
    <s v="Eficiencia"/>
    <s v="# de mapas de riesgos revisados/ # de mapas de riesgos existentes"/>
    <s v="Trimestral"/>
    <s v="Valor ACUMULADO en el trimestre de evaluación."/>
    <n v="1"/>
    <n v="3.3250000000000003E-3"/>
    <n v="0.4"/>
    <m/>
    <m/>
    <m/>
    <n v="0.4"/>
    <s v="Acumulado"/>
    <n v="0.4"/>
    <n v="1.3300000000000002E-3"/>
    <s v="Buen avance (40%). Se está desarrollando adecuadamente la revisión y actualización de mapas de riesgos. Se sostuvieron reuniones con la direccion tecnica, relaciones corporativas, produccion y contenidos"/>
    <m/>
    <m/>
    <m/>
  </r>
  <r>
    <n v="59"/>
    <s v="Plan de acción"/>
    <s v="3.4.6-COMUNICACIÓN PÚBLICA PARA EL FORTALECIMIENTO DE LA INSTITUCIONALIDAD Y LA CONFIANZA CIUDADANA"/>
    <x v="5"/>
    <x v="6"/>
    <x v="7"/>
    <s v="Plan Anticorrupción"/>
    <s v="Realizar seguimiento al Programa de Transparencia y Ética Pública (PTEP) de Telemedellín"/>
    <s v="Eficiencia"/>
    <s v="# Seguimientos al PTEP"/>
    <s v="Trimestral"/>
    <s v="Valor alcanzado en cada trimestre. Si no se evaluó, es cero &quot;0&quot;"/>
    <n v="3"/>
    <n v="3.5000000000000005E-3"/>
    <n v="1"/>
    <m/>
    <m/>
    <m/>
    <n v="1"/>
    <s v="Suma"/>
    <n v="0.33333333333333331"/>
    <n v="1.1666666666666668E-3"/>
    <s v="se realizo el en enero el ultimo seguimiento correspondiente a diciembre de 2024 "/>
    <m/>
    <m/>
    <m/>
  </r>
  <r>
    <n v="60"/>
    <s v="Plan de acción"/>
    <s v="3.4.6-COMUNICACIÓN PÚBLICA PARA EL FORTALECIMIENTO DE LA INSTITUCIONALIDAD Y LA CONFIANZA CIUDADANA"/>
    <x v="5"/>
    <x v="6"/>
    <x v="7"/>
    <s v="Seguimientos a planes de mejoramiento e indicadores"/>
    <s v="Revisar los informes de seguimientos a indicadores y planes de mejoramiento"/>
    <s v="Eficiencia"/>
    <s v="# de indicadores con soportes / # de indicadores totales"/>
    <s v="Trimestral"/>
    <s v="Valor alcanzado en cada trimestre. Si no se evaluó, es cero &quot;0&quot;"/>
    <n v="2"/>
    <n v="3.5000000000000005E-3"/>
    <n v="1"/>
    <m/>
    <m/>
    <m/>
    <n v="1"/>
    <s v="Suma"/>
    <n v="0.5"/>
    <n v="1.7500000000000003E-3"/>
    <s v="se realizo el seguimiento al plan de mejoramiento y fue rendido en el portal de gestion transparente"/>
    <m/>
    <m/>
    <m/>
  </r>
  <r>
    <n v="61"/>
    <s v="Plan de acción"/>
    <s v="3.4.6-COMUNICACIÓN PÚBLICA PARA EL FORTALECIMIENTO DE LA INSTITUCIONALIDAD Y LA CONFIANZA CIUDADANA"/>
    <x v="5"/>
    <x v="6"/>
    <x v="4"/>
    <s v="Actividades FURAG - MIPG"/>
    <s v="Evaluar la ejecución actividades planeadas en Furag y MIPG"/>
    <s v="Eficiencia"/>
    <s v="# Actividades realizadas/# Actividades planeadas "/>
    <s v="Trimestral"/>
    <s v="Valor ACUMULADO en el trimestre de evaluación."/>
    <n v="1"/>
    <n v="5.9500000000000013E-3"/>
    <n v="0"/>
    <m/>
    <m/>
    <m/>
    <n v="0"/>
    <s v="Acumulado"/>
    <n v="0"/>
    <n v="0"/>
    <s v="Las actividades del FURAG y MiPG iniciaran su ejecución en el segundo trimestre del 2025"/>
    <m/>
    <m/>
    <m/>
  </r>
  <r>
    <n v="62"/>
    <s v="Plan de acción"/>
    <s v="3.4.6-COMUNICACIÓN PÚBLICA PARA EL FORTALECIMIENTO DE LA INSTITUCIONALIDAD Y LA CONFIANZA CIUDADANA"/>
    <x v="5"/>
    <x v="6"/>
    <x v="4"/>
    <s v="Cumplimiento PINAR"/>
    <s v="Medir el cumplimiento del PINAR"/>
    <s v="Eficiencia"/>
    <s v="# Actividades realizadas/# Actividades planeadas "/>
    <s v="Trimestral"/>
    <s v="Valor ACUMULADO en el trimestre de evaluación."/>
    <n v="1"/>
    <n v="6.1250000000000011E-3"/>
    <n v="0.11"/>
    <m/>
    <m/>
    <m/>
    <n v="0.11"/>
    <s v="Acumulado"/>
    <n v="0.11"/>
    <n v="6.7375000000000009E-4"/>
    <s v="Se ha cumplido a cabalidad lo proyectado ya que estas primeras actividades son de organización y clasificacion; y se tiene esperado para los ultimos trimestres las actividades de instrumentos archivisticos que tienen mas peso."/>
    <m/>
    <m/>
    <m/>
  </r>
  <r>
    <n v="63"/>
    <s v="Plan de acción"/>
    <s v="3.4.6-COMUNICACIÓN PÚBLICA PARA EL FORTALECIMIENTO DE LA INSTITUCIONALIDAD Y LA CONFIANZA CIUDADANA"/>
    <x v="3"/>
    <x v="6"/>
    <x v="4"/>
    <s v="Flujo de tesorería mensualizado"/>
    <s v="Generar los flujos de tesorería mensualizado"/>
    <s v="Eficiencia"/>
    <s v="# Flujos de tesorería / 12 meses"/>
    <s v="Trimestral"/>
    <s v="Valor alcanzado en cada trimestre. Si no se evaluó, es cero &quot;0&quot;"/>
    <n v="12"/>
    <n v="6.5625000000000006E-3"/>
    <n v="3"/>
    <m/>
    <m/>
    <m/>
    <n v="3"/>
    <s v="Suma"/>
    <n v="0.25"/>
    <n v="1.6406250000000002E-3"/>
    <s v="Se han realizado los boletines de tesorería mensualmente"/>
    <m/>
    <m/>
    <m/>
  </r>
  <r>
    <n v="64"/>
    <s v="Plan de acción"/>
    <s v="3.4.6-COMUNICACIÓN PÚBLICA PARA EL FORTALECIMIENTO DE LA INSTITUCIONALIDAD Y LA CONFIANZA CIUDADANA"/>
    <x v="5"/>
    <x v="6"/>
    <x v="4"/>
    <s v="Indice de satisfacción Cliente interno"/>
    <s v="Medir la satisfacción clientes internos"/>
    <s v="Eficiencia"/>
    <s v="% de satisfacción por dependencia"/>
    <s v="Trimestral"/>
    <s v="Valor alcanzado en cada trimestre. Si no se evaluó, es cero &quot;0&quot;"/>
    <n v="0.85"/>
    <n v="6.1250000000000011E-3"/>
    <n v="0"/>
    <m/>
    <m/>
    <m/>
    <n v="0"/>
    <s v="Máximo"/>
    <n v="0"/>
    <n v="0"/>
    <s v="Las encuestas de satisfacción se realizaran en el Segundo trimeste 2025"/>
    <m/>
    <m/>
    <m/>
  </r>
  <r>
    <n v="65"/>
    <s v="Plan de acción"/>
    <s v="3.4.6-COMUNICACIÓN PÚBLICA PARA EL FORTALECIMIENTO DE LA INSTITUCIONALIDAD Y LA CONFIANZA CIUDADANA"/>
    <x v="3"/>
    <x v="6"/>
    <x v="4"/>
    <s v="Informe de costos"/>
    <s v="Generar informe mensual de costos"/>
    <s v="Eficiencia"/>
    <s v="Presentar 12 informes en el año"/>
    <s v="Trimestral"/>
    <s v="Valor alcanzado en cada trimestre. Si no se evaluó, es cero &quot;0&quot;"/>
    <n v="12"/>
    <n v="7.8750000000000001E-3"/>
    <n v="3"/>
    <m/>
    <m/>
    <m/>
    <n v="3"/>
    <s v="Suma"/>
    <n v="0.25"/>
    <n v="1.96875E-3"/>
    <s v="Se han realizado los informes de costos mensualmente"/>
    <m/>
    <m/>
    <m/>
  </r>
  <r>
    <n v="66"/>
    <s v="Plan de acción"/>
    <s v="3.4.6-COMUNICACIÓN PÚBLICA PARA EL FORTALECIMIENTO DE LA INSTITUCIONALIDAD Y LA CONFIANZA CIUDADANA"/>
    <x v="5"/>
    <x v="6"/>
    <x v="4"/>
    <s v="Mapa de riesgos"/>
    <s v="Revisar y/o actualizar los mapas de riesgos del área"/>
    <s v="Eficiencia"/>
    <s v="Mapas de riesgos revisado y/o actualizados"/>
    <s v="Trimestral"/>
    <s v="Valor alcanzado en cada trimestre. Si no se evaluó, es cero &quot;0&quot;"/>
    <n v="1"/>
    <n v="3.3250000000000003E-3"/>
    <n v="0"/>
    <m/>
    <m/>
    <m/>
    <n v="0"/>
    <s v="Suma"/>
    <n v="0"/>
    <n v="0"/>
    <s v="la actuaizacion se realizara en el segundo trimestre  2025"/>
    <m/>
    <m/>
    <m/>
  </r>
  <r>
    <n v="67"/>
    <s v="Plan de acción"/>
    <s v="3.4.6-COMUNICACIÓN PÚBLICA PARA EL FORTALECIMIENTO DE LA INSTITUCIONALIDAD Y LA CONFIANZA CIUDADANA"/>
    <x v="5"/>
    <x v="6"/>
    <x v="4"/>
    <s v="Plan de mantenimientos Sede"/>
    <s v="Ejecutar plan de mantenimiento Anualizado"/>
    <s v="Eficiencia"/>
    <s v="# de mantenimientos realizados"/>
    <s v="Trimestral"/>
    <s v="Valor alcanzado en cada trimestre. Si no se evaluó, es cero &quot;0&quot;"/>
    <n v="67"/>
    <n v="5.2500000000000012E-3"/>
    <n v="9"/>
    <m/>
    <m/>
    <m/>
    <n v="9"/>
    <s v="Suma"/>
    <n v="0.13432835820895522"/>
    <n v="7.0522388059701506E-4"/>
    <s v="Se realizan 5 mantenimientos a traves de contratos (AA, Ascensor, Camaras) y con nuestro personal se realizan 4 manteniminetos ( Fachada, Lavado de tanques, Podas y talas, fuentes, canaletas y talud) "/>
    <m/>
    <m/>
    <m/>
  </r>
  <r>
    <n v="68"/>
    <s v="Plan de acción"/>
    <s v="3.4.6-COMUNICACIÓN PÚBLICA PARA EL FORTALECIMIENTO DE LA INSTITUCIONALIDAD Y LA CONFIANZA CIUDADANA"/>
    <x v="5"/>
    <x v="6"/>
    <x v="0"/>
    <s v="Indice de satisfacción Cliente interno"/>
    <s v="Medir la satisfacción clientes internos"/>
    <s v="Eficiencia"/>
    <s v="% de satisfacción por dependencia"/>
    <s v="Trimestral"/>
    <s v="Valor alcanzado en cada trimestre. Si no se evaluó, es cero &quot;0&quot;"/>
    <n v="0.85"/>
    <n v="5.2500000000000012E-3"/>
    <n v="0"/>
    <m/>
    <m/>
    <m/>
    <n v="0"/>
    <s v="Máximo"/>
    <n v="0"/>
    <n v="0"/>
    <s v="La encuesta de satisfacción interna se realizará en el segundo semestre del año."/>
    <m/>
    <m/>
    <m/>
  </r>
  <r>
    <n v="69"/>
    <s v="Plan de acción"/>
    <s v="3.4.6-COMUNICACIÓN PÚBLICA PARA EL FORTALECIMIENTO DE LA INSTITUCIONALIDAD Y LA CONFIANZA CIUDADANA"/>
    <x v="0"/>
    <x v="0"/>
    <x v="0"/>
    <s v="Informes de difusión de políticas del plan de desarrollo distrital en Telemedellín"/>
    <s v="Difundir las políticas del plan de desarrollo distrital"/>
    <s v="Eficiencia"/>
    <s v="# Informes de difusión de políticas."/>
    <s v="Trimestral"/>
    <s v="Valor alcanzado en cada trimestre. Si no se evaluó, es cero &quot;0&quot;"/>
    <n v="4"/>
    <n v="5.8333333333333336E-3"/>
    <n v="0"/>
    <m/>
    <m/>
    <m/>
    <n v="0"/>
    <s v="Suma"/>
    <n v="0"/>
    <n v="0"/>
    <s v="Hasta la fecha no se han elaborado informes de difusión sobre las políticas del Plan de Desarrollo Distrital. Se tiene previsto desarrollar un primer informe durante el segundo trimestre del año."/>
    <m/>
    <m/>
    <m/>
  </r>
  <r>
    <n v="70"/>
    <s v="Plan de acción"/>
    <s v="3.4.6-COMUNICACIÓN PÚBLICA PARA EL FORTALECIMIENTO DE LA INSTITUCIONALIDAD Y LA CONFIANZA CIUDADANA"/>
    <x v="5"/>
    <x v="6"/>
    <x v="0"/>
    <s v="Manuales de estilo"/>
    <s v="Construir los manuales de estilo para programas producidos por Telemedellín"/>
    <s v="Eficiencia"/>
    <s v="# manuales de estilo / # programas emitidos en la vigencia"/>
    <s v="Trimestral"/>
    <s v="Valor ACUMULADO en el trimestre de evaluación."/>
    <n v="1"/>
    <n v="8.1666666666666676E-3"/>
    <n v="0"/>
    <m/>
    <m/>
    <m/>
    <n v="0"/>
    <s v="Final año"/>
    <n v="0"/>
    <n v="0"/>
    <s v="Actualmente se están construyendo los manuales de estilo de los nuevos programas. Proyectamos lara el segundo trimestre finalizar los manuales de estilo en construcción."/>
    <m/>
    <m/>
    <m/>
  </r>
  <r>
    <n v="71"/>
    <s v="Plan de acción"/>
    <s v="3.4.6-COMUNICACIÓN PÚBLICA PARA EL FORTALECIMIENTO DE LA INSTITUCIONALIDAD Y LA CONFIANZA CIUDADANA"/>
    <x v="5"/>
    <x v="6"/>
    <x v="0"/>
    <s v="Mapa de riesgos"/>
    <s v="Revisar y/o actualizar los mapas de riesgos del área"/>
    <s v="Eficiencia"/>
    <s v="Mapas de riesgos revisado y/o actualizados"/>
    <s v="Trimestral"/>
    <s v="Valor alcanzado en cada trimestre. Si no se evaluó, es cero &quot;0&quot;"/>
    <n v="1"/>
    <n v="3.3250000000000003E-3"/>
    <n v="1"/>
    <m/>
    <m/>
    <m/>
    <n v="1"/>
    <s v="Suma"/>
    <n v="1"/>
    <n v="3.3250000000000003E-3"/>
    <s v="Se revisó con el área de planeación el mapa de riesgos y se ajustó a las necesidades del Área de Contenidos y distrubución."/>
    <m/>
    <m/>
    <m/>
  </r>
  <r>
    <n v="72"/>
    <s v="Plan de acción"/>
    <s v="3.4.6-COMUNICACIÓN PÚBLICA PARA EL FORTALECIMIENTO DE LA INSTITUCIONALIDAD Y LA CONFIANZA CIUDADANA"/>
    <x v="5"/>
    <x v="6"/>
    <x v="2"/>
    <s v="Actividades FURAG - MIPG"/>
    <s v="Evaluar la ejecución actividades planeadas en Furag y MIPG"/>
    <s v="Eficiencia"/>
    <s v="# Actividades realizadas/# Actividades planeadas "/>
    <s v="Trimestral"/>
    <s v="Valor ACUMULADO en el trimestre de evaluación."/>
    <n v="1"/>
    <n v="5.9500000000000013E-3"/>
    <n v="0.1"/>
    <m/>
    <m/>
    <m/>
    <n v="0.1"/>
    <s v="Acumulado"/>
    <n v="0.1"/>
    <n v="5.9500000000000015E-4"/>
    <s v="En el marco del fortalecimiento de nuestra gestión institucional, durante el primer trimestre de 2025 se realizó la actualización de las políticas de comunicación de Telemedellín, con el fin de responder de manera más efectiva a los lineamientos y compromisos establecidos en los sistemas FURAG (Formulario Único de Reporte de Avance a la Gestión) y MIPG (Modelo Integrado de Planeación y Gestión)._x000a__x000a_Esta actualización se orientó a mejorar los procesos de evaluación de las actividades planeadas, promoviendo una comunicación más estratégica, transparente y alineada con los objetivos de la entidad._x000a__x000a_De cara al próximo trimestre, continuaremos con la implementación y seguimiento de estas acciones, asegurando que cada proceso comunicativo esté en sintonía con las metas institucionales y con el deber de rendir cuentas a la ciudadanía de manera clara y oportuna."/>
    <m/>
    <m/>
    <m/>
  </r>
  <r>
    <n v="73"/>
    <s v="Plan de acción"/>
    <s v="3.4.6-COMUNICACIÓN PÚBLICA PARA EL FORTALECIMIENTO DE LA INSTITUCIONALIDAD Y LA CONFIANZA CIUDADANA"/>
    <x v="2"/>
    <x v="5"/>
    <x v="2"/>
    <s v="Capacitación en atención al publico"/>
    <s v="Medir los eventos de capacitación en atención al publico"/>
    <s v="Eficacia"/>
    <s v="# Eventos de capacitación en atención al publico"/>
    <s v="Trimestral"/>
    <s v="Valor alcanzado en cada trimestre. Si no se evaluó, es cero &quot;0&quot;"/>
    <n v="2"/>
    <n v="4.6666666666666671E-3"/>
    <n v="0"/>
    <m/>
    <m/>
    <m/>
    <n v="0"/>
    <s v="Suma"/>
    <n v="0"/>
    <n v="0"/>
    <s v="En línea con el compromiso institucional de fortalecer la calidad en el servicio y promover una atención más cercana, empática y eficiente, durante el segundo y tercer trimestre de 2025 se realizarán eventos de capacitación dirigidos a los equipos que tienen contacto directo con la ciudadanía._x000a_Estas jornadas formativas estarán enfocadas en el desarrollo de competencias clave para la atención al público, incluyendo habilidades comunicativas, resolución de situaciones y promoción de una cultura de servicio que refleje los valores del canal como medio público al servicio de la comunidad._x000a_"/>
    <m/>
    <m/>
    <m/>
  </r>
  <r>
    <n v="74"/>
    <s v="Plan de acción"/>
    <s v="3.4.6-COMUNICACIÓN PÚBLICA PARA EL FORTALECIMIENTO DE LA INSTITUCIONALIDAD Y LA CONFIANZA CIUDADANA"/>
    <x v="5"/>
    <x v="6"/>
    <x v="2"/>
    <s v="Difusión de políticas institucionales"/>
    <s v="Medir la ejecución del plan de difusión de políticas institucionales"/>
    <s v="Eficiencia"/>
    <s v="Cantidad Informes de difusión entregados"/>
    <s v="Trimestral"/>
    <s v="Valor alcanzado en cada trimestre. Si no se evaluó, es cero &quot;0&quot;"/>
    <n v="1"/>
    <n v="7.000000000000001E-3"/>
    <n v="1"/>
    <m/>
    <m/>
    <m/>
    <n v="1"/>
    <s v="Suma"/>
    <n v="1"/>
    <n v="7.000000000000001E-3"/>
    <s v="En Telemedellín adelantamos un proceso de socialización y difusión de las políticas de cuidado y uso del Canal Parque, con el objetivo de fortalecer la conciencia ambiental entre nuestros visitantes y aliados._x000a__x000a_Esta iniciativa busca promover el respeto por el entorno natural del parque, así como el uso responsable de sus espacios, en línea con nuestro compromiso con la sostenibilidad y la protección del ecosistema urbano._x000a__x000a_A través de piezas informativas, actividades pedagógicas y mensajes clave en nuestros canales, invitamos a la ciudadanía a sumarse al cuidado del Canal Parque, entendiendo que su conservación es responsabilidad de todos y es parte esencial de nuestro rol como medio público."/>
    <m/>
    <m/>
    <m/>
  </r>
  <r>
    <n v="75"/>
    <s v="Plan de acción"/>
    <s v="3.4.6-COMUNICACIÓN PÚBLICA PARA EL FORTALECIMIENTO DE LA INSTITUCIONALIDAD Y LA CONFIANZA CIUDADANA"/>
    <x v="4"/>
    <x v="2"/>
    <x v="2"/>
    <s v="Gestión Free press Telemedellín"/>
    <s v="Gestionar FreePress comunicacional de Telemedellín"/>
    <s v="Efectividad"/>
    <s v="Valoración del Freepress"/>
    <s v="Trimestral"/>
    <s v="Valor alcanzado en cada trimestre. Si no se evaluó, es cero &quot;0&quot;"/>
    <n v="300000000"/>
    <n v="4.8124999999999999E-3"/>
    <n v="22759000"/>
    <m/>
    <m/>
    <m/>
    <n v="22759000"/>
    <s v="Suma"/>
    <n v="7.5863333333333338E-2"/>
    <n v="3.650922916666667E-4"/>
    <s v="Durante el primer trimestre de 2025, se consolidaron importantes alianzas con medios de comunicación locales y nacionales con el objetivo de fortalecer la visibilidad y el posicionamiento de nuestras producciones más destacadas. Estas gestiones de relacionamiento se enmarcaron en una estrategia de free press que permitió amplificar, sin costos publicitarios, el alcance de contenidos clave para el canal y para la ciudad._x000a_Entre los hitos más relevantes de este periodo se encuentran:_x000a_• Hola Medallo_x000a_• Premios India Catalina 2025_x000a_Estas alianzas hacen parte de una política comunicacional orientada al aprovechamiento estratégico de los medios como aliados naturales en la divulgación de contenidos de interés público, reafirmando el compromiso de Telemedellín con una comunicación abierta, participativa y cercana a la ciudadanía._x000a_"/>
    <m/>
    <m/>
    <m/>
  </r>
  <r>
    <n v="76"/>
    <s v="Plan de acción"/>
    <s v="3.4.6-COMUNICACIÓN PÚBLICA PARA EL FORTALECIMIENTO DE LA INSTITUCIONALIDAD Y LA CONFIANZA CIUDADANA"/>
    <x v="5"/>
    <x v="6"/>
    <x v="2"/>
    <s v="Indice de satisfacción Cliente interno"/>
    <s v="Medir la satisfacción clientes internos"/>
    <s v="Eficiencia"/>
    <s v="% de satisfacción por dependencia"/>
    <s v="Trimestral"/>
    <s v="Valor alcanzado en cada trimestre. Si no se evaluó, es cero &quot;0&quot;"/>
    <n v="0.85"/>
    <n v="5.2500000000000012E-3"/>
    <n v="0"/>
    <m/>
    <m/>
    <m/>
    <n v="0"/>
    <s v="Máximo"/>
    <n v="0"/>
    <n v="0"/>
    <s v="Con el propósito de fortalecer la gestión interna y mejorar continuamente nuestros procesos, a partir del segundo trimestre de 2025 se iniciará la medición del porcentaje de satisfacción por dependencia. Esta iniciativa busca recoger de manera sistemática la percepción de los colaboradores respecto a los procesos administrativos y de comunicación que se desarrollan en el canal._x000a__x000a_La medición se realizará mediante una encuesta que se aplicará una vez por semestre y que estará dirigida a todos los equipos de trabajo. A través de esta herramienta se recopilará información valiosa que permitirá identificar fortalezas, oportunidades de mejora y necesidades específicas de cada dependencia, con el fin de implementar acciones concretas que promuevan un ambiente laboral más eficiente, participativo y alineado con nuestros principios institucionales."/>
    <m/>
    <m/>
    <m/>
  </r>
  <r>
    <n v="77"/>
    <s v="Plan de acción"/>
    <s v="3.4.6-COMUNICACIÓN PÚBLICA PARA EL FORTALECIMIENTO DE LA INSTITUCIONALIDAD Y LA CONFIANZA CIUDADANA"/>
    <x v="5"/>
    <x v="6"/>
    <x v="2"/>
    <s v="Mapa de riesgos"/>
    <s v="Revisar y/o actualizar los mapas de riesgos del área"/>
    <s v="Eficiencia"/>
    <s v="Mapas de riesgos revisado y/o actualizados"/>
    <s v="Trimestral"/>
    <s v="Valor alcanzado en cada trimestre. Si no se evaluó, es cero &quot;0&quot;"/>
    <n v="1"/>
    <n v="3.3250000000000003E-3"/>
    <n v="1"/>
    <m/>
    <m/>
    <m/>
    <n v="1"/>
    <s v="Suma"/>
    <n v="1"/>
    <n v="3.3250000000000003E-3"/>
    <s v="Para este trimestre se llevó a cabo la actualización de los mapas de riesgos, en articulación con el área de Planeación y el equipo de Control Interno._x000a__x000a_Este ejercicio permitió revisar, ajustar y clasificar los riesgos institucionales con base en los nuevos retos operativos, estratégicos y normativos, fortaleciendo así nuestra capacidad para prevenir, mitigar y gestionar posibles afectaciones a los procesos del canal._x000a__x000a_La actualización de los mapas de riesgos es una herramienta clave para la toma de decisiones informada y la mejora continua, y reafirma nuestro compromiso con una gestión pública transparente, eficiente y orientada al cumplimiento de nuestros objetivos misionales."/>
    <m/>
    <m/>
    <m/>
  </r>
  <r>
    <n v="78"/>
    <s v="Plan de acción"/>
    <s v="3.4.6-COMUNICACIÓN PÚBLICA PARA EL FORTALECIMIENTO DE LA INSTITUCIONALIDAD Y LA CONFIANZA CIUDADANA"/>
    <x v="5"/>
    <x v="6"/>
    <x v="2"/>
    <s v="Procedimiento Canjes y Alianzas"/>
    <s v="Revisar y/o actualizar el proceso de canjes y alianzas"/>
    <s v="Eficiencia"/>
    <s v="Procedimientos actualizados relacionados con Canjes y/o alianzas"/>
    <s v="Trimestral"/>
    <s v="Valor alcanzado en cada trimestre. Si no se evaluó, es cero &quot;0&quot;"/>
    <n v="1"/>
    <n v="7.000000000000001E-3"/>
    <n v="1"/>
    <m/>
    <m/>
    <m/>
    <n v="1"/>
    <s v="Suma"/>
    <n v="1"/>
    <n v="7.000000000000001E-3"/>
    <s v="En el primer trimestre de 2025, en Telemedellín hemos consolidado 25 alianzas estratégicas con diferentes actores del sector público, privado y social. Este avance ha sido posible gracias a un proceso estructurado que guía cada etapa de vinculación, desde la formulación hasta la ejecución."/>
    <m/>
    <m/>
    <m/>
  </r>
  <r>
    <n v="79"/>
    <s v="Plan de acción"/>
    <s v="3.4.6-COMUNICACIÓN PÚBLICA PARA EL FORTALECIMIENTO DE LA INSTITUCIONALIDAD Y LA CONFIANZA CIUDADANA"/>
    <x v="0"/>
    <x v="2"/>
    <x v="2"/>
    <s v="Rendición pública de cuentas"/>
    <s v="Rendir ante la comunidad y el público general interesado la información de las diferentes acciones y manejos que se han realizado de la entidad."/>
    <s v="Eficacia"/>
    <s v="Cantidad de informes de gestión expuestos a la ciudadanía"/>
    <s v="Trimestral"/>
    <s v="Valor alcanzado en cada trimestre. Si no se evaluó, es cero &quot;0&quot;"/>
    <n v="1"/>
    <n v="4.6666666666666671E-3"/>
    <n v="0"/>
    <m/>
    <m/>
    <m/>
    <n v="0"/>
    <s v="Suma"/>
    <n v="0"/>
    <n v="0"/>
    <s v="Para este trimestre no se ha realizado aún el proceso de exposición de informes de gestión a la ciudadanía, ya que esta actividad se lleva a cabo entre una y dos veces al año, conforme a nuestra planificación institucional._x000a__x000a_Las fechas estimadas para este proceso de rendición de cuentas están proyectadas para la mitad del año y al cierre del mismo, de manera que podamos ofrecer un balance completo, transparente y oportuno sobre nuestras acciones, avances y resultados."/>
    <m/>
    <m/>
    <m/>
  </r>
  <r>
    <n v="80"/>
    <s v="Plan de acción"/>
    <s v="3.4.6-COMUNICACIÓN PÚBLICA PARA EL FORTALECIMIENTO DE LA INSTITUCIONALIDAD Y LA CONFIANZA CIUDADANA"/>
    <x v="5"/>
    <x v="6"/>
    <x v="3"/>
    <s v="Actividades FURAG - MIPG"/>
    <s v="Evaluar la ejecución actividades planeadas en Furag y MIPG"/>
    <s v="Eficiencia"/>
    <s v="# Actividades realizadas/# Actividades planeadas "/>
    <s v="Trimestral"/>
    <s v="Valor ACUMULADO en el trimestre de evaluación."/>
    <n v="1"/>
    <n v="5.9500000000000013E-3"/>
    <n v="0.25"/>
    <m/>
    <m/>
    <m/>
    <n v="0.25"/>
    <s v="Suma"/>
    <n v="0.25"/>
    <n v="1.4875000000000003E-3"/>
    <s v="Se han venido actualizando la dcocumentación de  acuerdo con el Plan de Seguridad y Privaviad de la Información"/>
    <m/>
    <m/>
    <m/>
  </r>
  <r>
    <n v="81"/>
    <s v="Plan de acción"/>
    <s v="3.4.6-COMUNICACIÓN PÚBLICA PARA EL FORTALECIMIENTO DE LA INSTITUCIONALIDAD Y LA CONFIANZA CIUDADANA"/>
    <x v="5"/>
    <x v="6"/>
    <x v="3"/>
    <s v="Gobierno digital"/>
    <s v="Medir  el alcance de resultados de Gobierno Digital en Furag"/>
    <s v="Eficacia"/>
    <s v="% obtenido en calificación Furag en gobierno digital"/>
    <s v="Trimestral"/>
    <s v="Valor ACUMULADO en el trimestre de evaluación."/>
    <n v="0.72270000000000001"/>
    <n v="8.1666666666666676E-3"/>
    <n v="0"/>
    <m/>
    <m/>
    <m/>
    <n v="0"/>
    <s v="Acumulado"/>
    <n v="0"/>
    <n v="0"/>
    <s v="Aun no ha llegado le evaluación del Furag del año 2024"/>
    <m/>
    <m/>
    <m/>
  </r>
  <r>
    <n v="82"/>
    <s v="Plan de acción"/>
    <s v="3.4.6-COMUNICACIÓN PÚBLICA PARA EL FORTALECIMIENTO DE LA INSTITUCIONALIDAD Y LA CONFIANZA CIUDADANA"/>
    <x v="5"/>
    <x v="6"/>
    <x v="3"/>
    <s v="Indice de satisfacción Cliente interno"/>
    <s v="Medir la satisfacción clientes internos"/>
    <s v="Eficiencia"/>
    <s v="% de satisfacción por dependencia"/>
    <s v="Trimestral"/>
    <s v="Valor alcanzado en cada trimestre. Si no se evaluó, es cero &quot;0&quot;"/>
    <n v="0.85"/>
    <n v="5.2500000000000012E-3"/>
    <n v="0"/>
    <m/>
    <m/>
    <m/>
    <n v="0"/>
    <s v="Máximo"/>
    <n v="0"/>
    <n v="0"/>
    <s v="No se ha realizado evaluación de la satisfacción de los clientes"/>
    <m/>
    <m/>
    <m/>
  </r>
  <r>
    <n v="83"/>
    <s v="Plan de acción"/>
    <s v="3.4.6-COMUNICACIÓN PÚBLICA PARA EL FORTALECIMIENTO DE LA INSTITUCIONALIDAD Y LA CONFIANZA CIUDADANA"/>
    <x v="1"/>
    <x v="3"/>
    <x v="3"/>
    <s v="Mantenimiento a equipos"/>
    <s v="Medir la eficiencia en la gestión de los mantenimientos preventivos y correctivos solicitados"/>
    <s v="Eficiencia"/>
    <s v="Casos cerrados/casos solicitados"/>
    <s v="Trimestral"/>
    <s v="Valor ACUMULADO en el trimestre de evaluación."/>
    <n v="1"/>
    <n v="5.2500000000000012E-3"/>
    <n v="0.93"/>
    <m/>
    <m/>
    <m/>
    <n v="0"/>
    <s v="Final año"/>
    <n v="0"/>
    <n v="0"/>
    <s v="Se vienen atendiendo los requerimintos con normalidad"/>
    <m/>
    <m/>
    <m/>
  </r>
  <r>
    <n v="84"/>
    <s v="Plan de acción"/>
    <s v="3.4.6-COMUNICACIÓN PÚBLICA PARA EL FORTALECIMIENTO DE LA INSTITUCIONALIDAD Y LA CONFIANZA CIUDADANA"/>
    <x v="5"/>
    <x v="6"/>
    <x v="3"/>
    <s v="Mapa de riesgos"/>
    <s v="Revisar y/o actualizar los mapas de riesgos del área"/>
    <s v="Eficiencia"/>
    <s v="Mapas de riesgos revisado y/o actualizados"/>
    <s v="Trimestral"/>
    <s v="Valor alcanzado en cada trimestre. Si no se evaluó, es cero &quot;0&quot;"/>
    <n v="1"/>
    <n v="3.3250000000000003E-3"/>
    <n v="1"/>
    <m/>
    <m/>
    <m/>
    <n v="1"/>
    <s v="Suma"/>
    <n v="1"/>
    <n v="3.3250000000000003E-3"/>
    <s v="Ya se realizo la revisión y actualización del mapa de riesgos del area"/>
    <m/>
    <m/>
    <m/>
  </r>
  <r>
    <n v="85"/>
    <s v="Plan de acción"/>
    <s v="3.4.6-COMUNICACIÓN PÚBLICA PARA EL FORTALECIMIENTO DE LA INSTITUCIONALIDAD Y LA CONFIANZA CIUDADANA"/>
    <x v="5"/>
    <x v="6"/>
    <x v="5"/>
    <s v="Actividades FURAG - MIPG"/>
    <s v="Evaluar la ejecución actividades planeadas en Furag y MIPG"/>
    <s v="Eficiencia"/>
    <s v="# Actividades realizadas/# Actividades planeadas "/>
    <s v="Trimestral"/>
    <s v="Valor ACUMULADO en el trimestre de evaluación."/>
    <n v="1"/>
    <n v="6.0287499999999994E-3"/>
    <n v="0.1"/>
    <m/>
    <m/>
    <m/>
    <n v="0.1"/>
    <s v="Acumulado"/>
    <n v="0.1"/>
    <n v="6.02875E-4"/>
    <s v="se realizò 1 actividad de las 10 programadas en el año (manul de conflicto de intereses) en los proximos trimestres se continua con las demàs actividades"/>
    <m/>
    <m/>
    <m/>
  </r>
  <r>
    <n v="86"/>
    <s v="Plan de acción"/>
    <s v="3.4.6-COMUNICACIÓN PÚBLICA PARA EL FORTALECIMIENTO DE LA INSTITUCIONALIDAD Y LA CONFIANZA CIUDADANA"/>
    <x v="2"/>
    <x v="5"/>
    <x v="5"/>
    <s v="Capacitación en habilidades blandas"/>
    <s v="Lograr que cada colaborador participe en mínimo dos charlas en el año"/>
    <s v="Eficacia"/>
    <s v="Asistencia a capacitaciones de habilidades blandas"/>
    <s v="Trimestral"/>
    <s v="Valor alcanzado en cada trimestre. Si no se evaluó, es cero &quot;0&quot;"/>
    <n v="1"/>
    <n v="4.6666666666666671E-3"/>
    <n v="0.1"/>
    <m/>
    <m/>
    <m/>
    <n v="0.1"/>
    <s v="Suma"/>
    <n v="0.1"/>
    <n v="4.6666666666666672E-4"/>
    <s v="Entres los meses de febrero y marzo se llevaron a cabo 4 charlas de habilidades blandas, una en febrero y tres en marzo, de las 40 charlas proyectadas para el año 20%, obteniendo asi un procentaje de cumplimiento del 10% "/>
    <m/>
    <m/>
    <m/>
  </r>
  <r>
    <n v="87"/>
    <s v="Plan de acción"/>
    <s v="3.4.6-COMUNICACIÓN PÚBLICA PARA EL FORTALECIMIENTO DE LA INSTITUCIONALIDAD Y LA CONFIANZA CIUDADANA"/>
    <x v="2"/>
    <x v="5"/>
    <x v="5"/>
    <s v="Cumplimiento del Plan de Bienestar Laboral"/>
    <s v="Medir las actividades de bienestar laboral."/>
    <s v="Eficiencia"/>
    <s v="# de actividades del plan de bienestar laboral ejecutadas / # de actividades del plan de bienestar laboral programadas"/>
    <s v="Trimestral"/>
    <s v="Valor ACUMULADO en el trimestre de evaluación."/>
    <n v="1"/>
    <n v="9.3333333333333341E-3"/>
    <n v="0.14000000000000001"/>
    <m/>
    <m/>
    <m/>
    <n v="0.14000000000000001"/>
    <s v="Acumulado"/>
    <n v="0.14000000000000001"/>
    <n v="1.3066666666666669E-3"/>
    <s v="en el primer trimestre se cumplio con 27 actividades de las 197 programadas en el año esto representa un 14%"/>
    <m/>
    <m/>
    <m/>
  </r>
  <r>
    <n v="88"/>
    <s v="Plan de acción"/>
    <s v="3.4.6-COMUNICACIÓN PÚBLICA PARA EL FORTALECIMIENTO DE LA INSTITUCIONALIDAD Y LA CONFIANZA CIUDADANA"/>
    <x v="5"/>
    <x v="6"/>
    <x v="5"/>
    <s v="Cumplimiento del plan de capacitación"/>
    <s v="Medir las actividades del Plan de formación y capacitación"/>
    <s v="Eficiencia"/>
    <s v="# de capacitaciones ejecutadas / # de capacitaciones programadas"/>
    <s v="Trimestral"/>
    <s v="Valor ACUMULADO en el trimestre de evaluación."/>
    <n v="1"/>
    <n v="5.8333333333333336E-3"/>
    <n v="0.16"/>
    <m/>
    <m/>
    <m/>
    <n v="0.16"/>
    <s v="Acumulado"/>
    <n v="0.16"/>
    <n v="9.3333333333333343E-4"/>
    <s v="En el primer trimestre del año se programaron 8 actividades y se ejecutaron 8 actividades, entre inducciónes, gestión de seguridda y salud en el trabajo, ademas de charlas enfocadas en el ser. "/>
    <m/>
    <m/>
    <m/>
  </r>
  <r>
    <n v="89"/>
    <s v="Plan de acción"/>
    <s v="3.4.6-COMUNICACIÓN PÚBLICA PARA EL FORTALECIMIENTO DE LA INSTITUCIONALIDAD Y LA CONFIANZA CIUDADANA"/>
    <x v="2"/>
    <x v="5"/>
    <x v="5"/>
    <s v="Cumplimiento del plan de seguridad y salud en el trabajo"/>
    <s v="Realizar seguimiento al Sistema de Gestión de Seguridad y salud en el trabajo."/>
    <s v="Eficiencia"/>
    <s v="# de actividades del plan de seguridad y salud en el trabajo ejecutadas / # de actividades del plan de seguridad y salud en el trabajo programadas"/>
    <s v="Trimestral"/>
    <s v="Valor ACUMULADO en el trimestre de evaluación."/>
    <n v="1"/>
    <n v="7.000000000000001E-3"/>
    <n v="0.2"/>
    <m/>
    <m/>
    <m/>
    <n v="0.2"/>
    <s v="Acumulado"/>
    <n v="0.2"/>
    <n v="1.4000000000000002E-3"/>
    <s v="En el primer trismestre del año se programaron 45 actividades de las cuales se dio cumplimiento a 41 lo que equivale al 20% del cumplimiento anual, las actividades que se destacan son  recursos financieros, plan de capacitación, plan de formación grupos de apoyo,  inducción, evaluación inicial, entre otros"/>
    <m/>
    <m/>
    <m/>
  </r>
  <r>
    <n v="90"/>
    <s v="Plan de acción"/>
    <s v="3.4.6-COMUNICACIÓN PÚBLICA PARA EL FORTALECIMIENTO DE LA INSTITUCIONALIDAD Y LA CONFIANZA CIUDADANA"/>
    <x v="2"/>
    <x v="5"/>
    <x v="5"/>
    <s v="Inducción y reinducción"/>
    <s v="Realizar ejercicios de inducción o reinduccióna los colaboradores del canal"/>
    <s v="Eficiencia"/>
    <s v="# Ejercicios de inducción o reinducción"/>
    <s v="Trimestral"/>
    <s v="Valor alcanzado en cada trimestre. Si no se evaluó, es cero &quot;0&quot;"/>
    <n v="2"/>
    <n v="5.8333333333333336E-3"/>
    <n v="0"/>
    <m/>
    <m/>
    <m/>
    <n v="0"/>
    <s v="Suma"/>
    <n v="0"/>
    <n v="0"/>
    <s v="se tiene progrmada para el segundo trimestre en junio"/>
    <m/>
    <m/>
    <m/>
  </r>
  <r>
    <n v="91"/>
    <s v="Plan de acción"/>
    <s v="3.4.6-COMUNICACIÓN PÚBLICA PARA EL FORTALECIMIENTO DE LA INSTITUCIONALIDAD Y LA CONFIANZA CIUDADANA"/>
    <x v="2"/>
    <x v="5"/>
    <x v="5"/>
    <s v="Inducción y reinducción"/>
    <s v="Medir el % personas con procesos de inducción"/>
    <s v="Eficacia"/>
    <s v="# personas con inducción / # personas nuevos ingresos al canal."/>
    <s v="Trimestral"/>
    <s v="Valor ACUMULADO en el trimestre de evaluación."/>
    <n v="0.9"/>
    <n v="3.5000000000000005E-3"/>
    <n v="0.85"/>
    <m/>
    <m/>
    <m/>
    <n v="0.85"/>
    <s v="Acumulado"/>
    <n v="0.94444444444444442"/>
    <n v="3.3055555555555559E-3"/>
    <s v="Se le realizo inducción en seguridad y salud en el trabjo a 34 personas de 40 que ingresaron nuevas a la Entidad entre los meses de enero a marzo"/>
    <m/>
    <m/>
    <m/>
  </r>
  <r>
    <n v="92"/>
    <s v="Plan de acción"/>
    <s v="3.4.6-COMUNICACIÓN PÚBLICA PARA EL FORTALECIMIENTO DE LA INSTITUCIONALIDAD Y LA CONFIANZA CIUDADANA"/>
    <x v="5"/>
    <x v="6"/>
    <x v="5"/>
    <s v="Mapa de riesgos"/>
    <s v="Revisar y/o actualizar los mapas de riesgos del área"/>
    <s v="Eficiencia"/>
    <s v="Mapas de riesgos revisado y/o actualizados"/>
    <s v="Trimestral"/>
    <s v="Valor alcanzado en cada trimestre. Si no se evaluó, es cero &quot;0&quot;"/>
    <n v="1"/>
    <n v="3.4037500000000005E-3"/>
    <n v="0"/>
    <m/>
    <m/>
    <m/>
    <n v="0"/>
    <s v="Suma"/>
    <n v="0"/>
    <n v="0"/>
    <s v="se tiene programado la actualizaciòn para el segundo trimestre"/>
    <m/>
    <m/>
    <m/>
  </r>
  <r>
    <n v="93"/>
    <s v="Plan de acción"/>
    <s v="3.4.6-COMUNICACIÓN PÚBLICA PARA EL FORTALECIMIENTO DE LA INSTITUCIONALIDAD Y LA CONFIANZA CIUDADANA"/>
    <x v="2"/>
    <x v="5"/>
    <x v="5"/>
    <s v="Tiquetera emocional"/>
    <s v="Aprobar e implementar la tiquetera emocional para los colaboradores"/>
    <s v="Eficacia"/>
    <s v="Aprobación e implementación de la tiquetera"/>
    <s v="Trimestral"/>
    <s v="Valor alcanzado en cada trimestre. Si no se evaluó, es cero &quot;0&quot;"/>
    <n v="1"/>
    <n v="7.000000000000001E-3"/>
    <n v="1"/>
    <m/>
    <m/>
    <m/>
    <n v="1"/>
    <s v="Suma"/>
    <n v="1"/>
    <n v="7.000000000000001E-3"/>
    <s v=" La gerencia aprobo la implementación de la tiquetera de la felicidad en el mes de enero. Queda pendiente la divulgación de esta iniciativa a todo el personal."/>
    <m/>
    <m/>
    <m/>
  </r>
  <r>
    <n v="94"/>
    <s v="Plan de acción"/>
    <s v="3.4.6-COMUNICACIÓN PÚBLICA PARA EL FORTALECIMIENTO DE LA INSTITUCIONALIDAD Y LA CONFIANZA CIUDADANA"/>
    <x v="5"/>
    <x v="6"/>
    <x v="8"/>
    <s v="Avance implementación MIPG"/>
    <s v="Evaluar la implementación y seguimiento del MIPG"/>
    <s v="Eficacia"/>
    <s v="Implementaciones ejecutadas / Implementaciones proyectadas X 100%"/>
    <s v="Trimestral"/>
    <s v="Valor ACUMULADO en el trimestre de evaluación."/>
    <n v="0.9"/>
    <n v="6.1250000000000011E-3"/>
    <n v="0.1"/>
    <m/>
    <m/>
    <m/>
    <n v="0.1"/>
    <s v="Acumulado"/>
    <n v="0.11111111111111112"/>
    <n v="6.8055555555555577E-4"/>
    <s v="Se han ejecutado las actividades programadas de MIPG para el primer trimestre, como la definición del Plan de Transparencia y ética pública y otras actividades relacionadas con el botón de transparencia para la página web."/>
    <m/>
    <m/>
    <m/>
  </r>
  <r>
    <n v="95"/>
    <s v="Plan de acción"/>
    <s v="3.4.6-COMUNICACIÓN PÚBLICA PARA EL FORTALECIMIENTO DE LA INSTITUCIONALIDAD Y LA CONFIANZA CIUDADANA"/>
    <x v="5"/>
    <x v="6"/>
    <x v="8"/>
    <s v="Evaluación FURAG "/>
    <s v="Obtener una alta calificación en el Formulario Único (FURAG)"/>
    <s v="Eficacia"/>
    <s v="Calificación institucional en el FURAG"/>
    <s v="Trimestral"/>
    <s v="Valor alcanzado en cada trimestre. Si no se evaluó, es cero &quot;0&quot;"/>
    <n v="63.1"/>
    <n v="8.1666666666666676E-3"/>
    <n v="0"/>
    <m/>
    <m/>
    <m/>
    <n v="0"/>
    <s v="Máximo"/>
    <n v="0"/>
    <n v="0"/>
    <s v="La calificación del FURAG se recibirá en el segundo semestre del año."/>
    <m/>
    <m/>
    <m/>
  </r>
  <r>
    <n v="96"/>
    <s v="Plan de acción"/>
    <s v="3.4.6-COMUNICACIÓN PÚBLICA PARA EL FORTALECIMIENTO DE LA INSTITUCIONALIDAD Y LA CONFIANZA CIUDADANA"/>
    <x v="5"/>
    <x v="6"/>
    <x v="8"/>
    <s v="Indice de satisfacción Cliente interno"/>
    <s v="Medir la satisfacción clientes internos"/>
    <s v="Eficiencia"/>
    <s v="% de satisfacción por dependencia"/>
    <s v="Trimestral"/>
    <s v="Valor alcanzado en cada trimestre. Si no se evaluó, es cero &quot;0&quot;"/>
    <n v="0.85"/>
    <n v="5.2500000000000012E-3"/>
    <n v="0"/>
    <m/>
    <m/>
    <m/>
    <n v="0"/>
    <s v="Máximo"/>
    <n v="0"/>
    <n v="0"/>
    <s v="La medición de satisfacción de clientes internos se realizará en el segundo semestre del año."/>
    <m/>
    <m/>
    <m/>
  </r>
  <r>
    <n v="97"/>
    <s v="Plan de acción"/>
    <s v="3.4.6-COMUNICACIÓN PÚBLICA PARA EL FORTALECIMIENTO DE LA INSTITUCIONALIDAD Y LA CONFIANZA CIUDADANA"/>
    <x v="5"/>
    <x v="6"/>
    <x v="8"/>
    <s v="Informe de gestión"/>
    <s v="Rendir ante la comunidad y el público general interesado la información de las diferentes acciones y manejos que se han realizado de la entidad."/>
    <s v="Eficacia"/>
    <s v="Cantidad de informes de gestión presentados a la ciudadanía"/>
    <s v="Trimestral"/>
    <s v="Valor alcanzado en cada trimestre. Si no se evaluó, es cero &quot;0&quot;"/>
    <n v="1"/>
    <n v="5.8333333333333336E-3"/>
    <n v="0"/>
    <m/>
    <m/>
    <m/>
    <n v="0"/>
    <s v="Suma"/>
    <n v="0"/>
    <n v="0"/>
    <s v="La audiencia pública de rendición de cuentas se realiza al finalizar el periodo, se tiene proyectado presentar la rendición de cuentas en el mes de diciembre."/>
    <m/>
    <m/>
    <m/>
  </r>
  <r>
    <n v="98"/>
    <s v="Plan de acción"/>
    <s v="3.4.6-COMUNICACIÓN PÚBLICA PARA EL FORTALECIMIENTO DE LA INSTITUCIONALIDAD Y LA CONFIANZA CIUDADANA"/>
    <x v="5"/>
    <x v="6"/>
    <x v="8"/>
    <s v="Informe de gestión"/>
    <s v="Generar el documento Informe de gestión Telemedellín"/>
    <s v="Eficacia"/>
    <s v="Cantidad de informes de gestión presentados a la ciudadanía"/>
    <s v="Trimestral"/>
    <s v="Valor alcanzado en cada trimestre. Si no se evaluó, es cero &quot;0&quot;"/>
    <n v="1"/>
    <n v="5.8333333333333336E-3"/>
    <n v="0"/>
    <m/>
    <m/>
    <m/>
    <n v="0"/>
    <s v="Suma"/>
    <n v="0"/>
    <n v="0"/>
    <s v="El informe de gestión se elabora y difunde al finalizar el periodo, se tiene proyectado elaborarlo en el mes de noviembre."/>
    <m/>
    <m/>
    <m/>
  </r>
  <r>
    <n v="99"/>
    <s v="Plan de acción"/>
    <s v="3.4.6-COMUNICACIÓN PÚBLICA PARA EL FORTALECIMIENTO DE LA INSTITUCIONALIDAD Y LA CONFIANZA CIUDADANA"/>
    <x v="5"/>
    <x v="6"/>
    <x v="8"/>
    <s v="Mapa de riesgos"/>
    <s v="Revisar y/o actualizar los mapas de riesgos del área"/>
    <s v="Eficiencia"/>
    <s v="Mapas de riesgos revisado y/o actualizados"/>
    <s v="Trimestral"/>
    <s v="Valor alcanzado en cada trimestre. Si no se evaluó, es cero &quot;0&quot;"/>
    <n v="1"/>
    <n v="3.4037500000000005E-3"/>
    <n v="1"/>
    <m/>
    <m/>
    <m/>
    <n v="1"/>
    <s v="Suma"/>
    <n v="1"/>
    <n v="3.4037500000000005E-3"/>
    <s v="EL mapa de riesgos ha sido revisado y actualizado para la vigencia 2025,"/>
    <m/>
    <m/>
    <m/>
  </r>
  <r>
    <n v="100"/>
    <s v="Plan de acción"/>
    <s v="3.4.6-COMUNICACIÓN PÚBLICA PARA EL FORTALECIMIENTO DE LA INSTITUCIONALIDAD Y LA CONFIANZA CIUDADANA"/>
    <x v="5"/>
    <x v="6"/>
    <x v="8"/>
    <s v="Plan Anticorrupción"/>
    <s v="Realizar seguimiento al plan de anticorrupción de Telemedellín"/>
    <s v="Eficiencia"/>
    <s v="Actividades del plan anticorrupción ejecutadas / Actividades proyectadas"/>
    <s v="Trimestral"/>
    <s v="Valor alcanzado en cada trimestre. Si no se evaluó, es cero &quot;0&quot;"/>
    <n v="3"/>
    <n v="4.6666666666666671E-3"/>
    <n v="0"/>
    <m/>
    <m/>
    <m/>
    <n v="0"/>
    <s v="Suma"/>
    <n v="0"/>
    <n v="0"/>
    <s v="EL primer seguimiento al Plan Anticorrupción se realiza en el mes de abril."/>
    <m/>
    <m/>
    <m/>
  </r>
  <r>
    <n v="101"/>
    <s v="Plan de acción"/>
    <s v="3.4.6-COMUNICACIÓN PÚBLICA PARA EL FORTALECIMIENTO DE LA INSTITUCIONALIDAD Y LA CONFIANZA CIUDADANA"/>
    <x v="5"/>
    <x v="6"/>
    <x v="9"/>
    <s v="Indice de satisfacción Cliente interno"/>
    <s v="Medir la satisfacción clientes internos"/>
    <s v="Eficiencia"/>
    <s v="% de satisfacción por dependencia"/>
    <s v="Trimestral"/>
    <s v="Valor alcanzado en cada trimestre. Si no se evaluó, es cero &quot;0&quot;"/>
    <n v="0.85"/>
    <n v="5.2500000000000012E-3"/>
    <n v="0"/>
    <m/>
    <m/>
    <m/>
    <n v="0"/>
    <s v="Máximo"/>
    <n v="0"/>
    <n v="0"/>
    <s v="En el transcurso del primer trimestre de 2025 no se efectuó la medición del índice de satisfacción del cliente interno. Esta decisión responde a la estrategia definida para el presente año, que consiste en realizar una única evaluación integral al finalizar el periodo anual, con el objetivo de obtener una visión más global y representativa del desempeño del área._x000a__x000a_La intención es evitar que los resultados estén influenciados por situaciones puntuales o específicas de un trimestre, permitiendo así consolidar una percepción más precisa por parte de las diferentes áreas del canal. Al concentrar la evaluación en el cierre del año, se busca capturar el impacto acumulado de todas las acciones y mejoras implementadas a lo largo del periodo, fortaleciendo la calidad del análisis y su utilidad para la toma de decisiones."/>
    <m/>
    <m/>
    <m/>
  </r>
  <r>
    <n v="102"/>
    <s v="Plan de acción"/>
    <s v="3.4.6-COMUNICACIÓN PÚBLICA PARA EL FORTALECIMIENTO DE LA INSTITUCIONALIDAD Y LA CONFIANZA CIUDADANA"/>
    <x v="5"/>
    <x v="6"/>
    <x v="9"/>
    <s v="Mapa de riesgos"/>
    <s v="Revisar y/o actualizar los mapas de riesgos del área"/>
    <s v="Eficiencia"/>
    <s v="Mapas de riesgos revisado y/o actualizados"/>
    <s v="Trimestral"/>
    <s v="Valor alcanzado en cada trimestre. Si no se evaluó, es cero &quot;0&quot;"/>
    <n v="1"/>
    <n v="3.4037500000000005E-3"/>
    <n v="1"/>
    <m/>
    <m/>
    <m/>
    <n v="1"/>
    <s v="Suma"/>
    <n v="1"/>
    <n v="3.4037500000000005E-3"/>
    <s v="Durante el primer trimestre del año se llevó a cabo una revisión conjunta del Mapa de Riesgos del área de Producción, en articulación con las áreas de Planeación y Control Interno. Esta revisión permitió validar la pertinencia y actualidad del mapa frente a las dinámicas y retos propios del área._x000a__x000a_Como resultado del análisis, se concluyó que el mapa vigente refleja adecuadamente los riesgos que enfrenta el área. No obstante, en el ejercicio de evaluación se identificó la necesidad de fortalecer el control sobre situaciones relacionadas con la pérdida de material grabado, ya sea por errores técnicos o humanos._x000a__x000a_Por tal motivo, se concertó la inclusión de un nuevo ítem en el mapa de riesgos que contemple específicamente este escenario, con el fin de implementar acciones preventivas y correctivas que minimicen su impacto en la operación diaria del canal. "/>
    <m/>
    <m/>
    <m/>
  </r>
  <r>
    <n v="103"/>
    <s v="Plan de acción"/>
    <s v="3.4.6-COMUNICACIÓN PÚBLICA PARA EL FORTALECIMIENTO DE LA INSTITUCIONALIDAD Y LA CONFIANZA CIUDADANA"/>
    <x v="4"/>
    <x v="6"/>
    <x v="9"/>
    <s v="Modelación de unidad de negocio ARTM"/>
    <s v="Definir del modelo de negocio ARTM"/>
    <s v="Eficacia"/>
    <s v="Informe de modelo de negocio ARTM"/>
    <s v="Trimestral"/>
    <s v="Valor alcanzado en cada trimestre. Si no se evaluó, es cero &quot;0&quot;"/>
    <n v="1"/>
    <n v="5.8333333333333336E-3"/>
    <n v="1"/>
    <m/>
    <m/>
    <m/>
    <n v="1"/>
    <s v="Suma"/>
    <n v="1"/>
    <n v="5.8333333333333336E-3"/>
    <s v="Para el primer trimestre de 2025 se adelantaron reuniones estratégicas entre el área de Producción, Planeación y la líder de Proyectos Especiales, con el propósito de revisar y afinar la estructura general del proyecto ARTM. En este espacio de se definieron aspectos clave para el desarrollo del modelo de negocio, destacando la decisión de que la estrategia de comercialización se llevará a cabo a través de la Agencia y la Central de Medios, lo cual permitirá optimizar el alcance y posicionamiento del producto._x000a__x000a_Adicionalmente, se trabajó con el área financiera en la proyección del recurso humano adicional requerido para la puesta en marcha del proyecto, así como en una estimación de ventas mensuales. Estas proyecciones permitirán, en una etapa posterior, realizar un análisis integral de viabilidad y pertinencia del proyecto, evaluando su sostenibilidad desde lo operativo, financiero y estratégico._x000a_"/>
    <m/>
    <m/>
    <m/>
  </r>
  <r>
    <n v="104"/>
    <s v="Plan de acción"/>
    <s v="3.4.6-COMUNICACIÓN PÚBLICA PARA EL FORTALECIMIENTO DE LA INSTITUCIONALIDAD Y LA CONFIANZA CIUDADANA"/>
    <x v="5"/>
    <x v="6"/>
    <x v="10"/>
    <s v="Actividades FURAG - MIPG"/>
    <s v="Evaluar la ejecución actividades planeadas en Furag y MIPG"/>
    <s v="Eficiencia"/>
    <s v="# Actividades realizadas/# Actividades planeadas "/>
    <s v="Trimestral"/>
    <s v="Valor ACUMULADO en el trimestre de evaluación."/>
    <n v="1"/>
    <n v="6.0287499999999994E-3"/>
    <n v="1"/>
    <m/>
    <m/>
    <m/>
    <n v="1"/>
    <s v="Acumulado"/>
    <n v="1"/>
    <n v="6.0287499999999994E-3"/>
    <s v="Se implementó, ejecutó y capacitó a las direcciones respecto del nuevo manual de contratación para el año 2025. Se estructuró el plan de capacitación"/>
    <m/>
    <m/>
    <m/>
  </r>
  <r>
    <n v="105"/>
    <s v="Plan de acción"/>
    <s v="3.4.6-COMUNICACIÓN PÚBLICA PARA EL FORTALECIMIENTO DE LA INSTITUCIONALIDAD Y LA CONFIANZA CIUDADANA"/>
    <x v="5"/>
    <x v="6"/>
    <x v="10"/>
    <s v="Defensa juidicial"/>
    <s v="Intervenir en el 100% de procesos judiciales y extrajudiciales en los que intervenga el canal "/>
    <s v="Efectividad"/>
    <s v="Procesos judiciales y extrajudiciales efectivamente atendidos / actuaciones judiciales y extrajudiciales notificados "/>
    <s v="Trimestral"/>
    <s v="Valor ACUMULADO en el trimestre de evaluación."/>
    <n v="1"/>
    <n v="4.6666666666666671E-3"/>
    <n v="1"/>
    <m/>
    <m/>
    <m/>
    <n v="1"/>
    <s v="Acumulado"/>
    <n v="1"/>
    <n v="4.6666666666666671E-3"/>
    <s v="Se atendió acción de tutela en contra del canal por parte del señor José Aníbal, por presunta vulneración al derecho a la honra y buen nombre (Primera y segunda instancia favorable a la entidad). El 11 de marzo se remitieron los alegatos de conclusión respecto del proceso administrativo que se está adelantando en el Consejo Nacional Electoral. "/>
    <m/>
    <m/>
    <m/>
  </r>
  <r>
    <n v="106"/>
    <s v="Plan de acción"/>
    <s v="3.4.6-COMUNICACIÓN PÚBLICA PARA EL FORTALECIMIENTO DE LA INSTITUCIONALIDAD Y LA CONFIANZA CIUDADANA"/>
    <x v="5"/>
    <x v="6"/>
    <x v="10"/>
    <s v="Indice de satisfacción Cliente interno"/>
    <s v="Medir la satisfacción clientes internos"/>
    <s v="Eficiencia"/>
    <s v="% de satisfacción por dependencia"/>
    <s v="Trimestral"/>
    <s v="Valor alcanzado en cada trimestre. Si no se evaluó, es cero &quot;0&quot;"/>
    <n v="0.85"/>
    <n v="5.2500000000000012E-3"/>
    <n v="0"/>
    <m/>
    <m/>
    <m/>
    <n v="0"/>
    <s v="Máximo"/>
    <n v="0"/>
    <n v="0"/>
    <s v="La medición esta programa para el ultimo trimestre del año."/>
    <m/>
    <m/>
    <m/>
  </r>
  <r>
    <n v="107"/>
    <s v="Plan de acción"/>
    <s v="3.4.6-COMUNICACIÓN PÚBLICA PARA EL FORTALECIMIENTO DE LA INSTITUCIONALIDAD Y LA CONFIANZA CIUDADANA"/>
    <x v="5"/>
    <x v="6"/>
    <x v="10"/>
    <s v="Manual de contratación"/>
    <s v="Implementar el manual de contratación"/>
    <s v="Eficiencia"/>
    <s v="Implementar el  manual de contratación"/>
    <s v="Trimestral"/>
    <s v="Valor alcanzado en cada trimestre. Si no se evaluó, es cero &quot;0&quot;"/>
    <n v="1"/>
    <n v="8.1666666666666676E-3"/>
    <n v="1"/>
    <m/>
    <m/>
    <m/>
    <n v="1"/>
    <s v="Máximo"/>
    <n v="1"/>
    <n v="8.1666666666666676E-3"/>
    <s v="Se implementó y ejecutó el nuevo maual de contratación 2025"/>
    <m/>
    <m/>
    <m/>
  </r>
  <r>
    <n v="108"/>
    <s v="Plan de acción"/>
    <s v="3.4.6-COMUNICACIÓN PÚBLICA PARA EL FORTALECIMIENTO DE LA INSTITUCIONALIDAD Y LA CONFIANZA CIUDADANA"/>
    <x v="5"/>
    <x v="6"/>
    <x v="10"/>
    <s v="Mapa de riesgos"/>
    <s v="Revisar y/o actualizar los mapas de riesgos del área"/>
    <s v="Eficiencia"/>
    <s v="Mapas de riesgos revisado y/o actualizados"/>
    <s v="Trimestral"/>
    <s v="Valor alcanzado en cada trimestre. Si no se evaluó, es cero &quot;0&quot;"/>
    <n v="1"/>
    <n v="3.4037500000000005E-3"/>
    <n v="0"/>
    <m/>
    <m/>
    <m/>
    <n v="0"/>
    <s v="Suma"/>
    <n v="0"/>
    <n v="0"/>
    <s v="No requiere actualización para el primer trimestre "/>
    <m/>
    <m/>
    <m/>
  </r>
  <r>
    <n v="109"/>
    <s v="Plan de acción"/>
    <s v="3.4.6-COMUNICACIÓN PÚBLICA PARA EL FORTALECIMIENTO DE LA INSTITUCIONALIDAD Y LA CONFIANZA CIUDADANA"/>
    <x v="5"/>
    <x v="6"/>
    <x v="10"/>
    <s v="PQRSD"/>
    <s v="Medir las PQRSD respondidas en terminos de ley"/>
    <s v="Eficiencia"/>
    <s v="# de PQRS respondidas a tiempo _x000a_ / # PQRS recibidas"/>
    <s v="Trimestral"/>
    <s v="Valor ACUMULADO en el trimestre de evaluación."/>
    <n v="1"/>
    <n v="4.6666666666666671E-3"/>
    <n v="1"/>
    <m/>
    <m/>
    <m/>
    <n v="0"/>
    <s v="Final año"/>
    <n v="0"/>
    <n v="0"/>
    <s v="Se recibieron y respondieron 230 PQRSD entre el 1 de enero y el 31 de marzo del 2025 que reposan en la plataforma PQRSD."/>
    <m/>
    <m/>
    <m/>
  </r>
  <r>
    <n v="110"/>
    <s v="Plan de acción"/>
    <s v="3.4.6-COMUNICACIÓN PÚBLICA PARA EL FORTALECIMIENTO DE LA INSTITUCIONALIDAD Y LA CONFIANZA CIUDADANA"/>
    <x v="5"/>
    <x v="6"/>
    <x v="10"/>
    <s v="PQRSD"/>
    <s v="Generar y publicar informes de PQRSD"/>
    <s v="Eficiencia"/>
    <s v="Numero de informes PQRSD publicados"/>
    <s v="Trimestral"/>
    <s v="Valor alcanzado en cada trimestre. Si no se evaluó, es cero &quot;0&quot;"/>
    <n v="12"/>
    <n v="4.6666666666666671E-3"/>
    <n v="3"/>
    <m/>
    <m/>
    <m/>
    <n v="3"/>
    <s v="Suma"/>
    <n v="0.25"/>
    <n v="1.1666666666666668E-3"/>
    <s v="Se realizaron y entregaron mes a mes los informes correspondientes a los cierres y cumplimiento de la plataforma PQRSD."/>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5" cacheId="0" applyNumberFormats="0" applyBorderFormats="0" applyFontFormats="0" applyPatternFormats="0" applyAlignmentFormats="0" applyWidthHeightFormats="1" dataCaption="Valores" updatedVersion="6" minRefreshableVersion="3" useAutoFormatting="1" itemPrintTitles="1" createdVersion="7" indent="0" outline="1" outlineData="1" multipleFieldFilters="0" chartFormat="1">
  <location ref="A25:C37" firstHeaderRow="0" firstDataRow="1" firstDataCol="1"/>
  <pivotFields count="26">
    <pivotField showAll="0"/>
    <pivotField showAll="0"/>
    <pivotField showAll="0"/>
    <pivotField showAll="0"/>
    <pivotField showAll="0"/>
    <pivotField axis="axisRow" showAll="0">
      <items count="12">
        <item x="6"/>
        <item x="7"/>
        <item x="4"/>
        <item x="0"/>
        <item x="1"/>
        <item x="2"/>
        <item x="3"/>
        <item x="5"/>
        <item x="8"/>
        <item x="9"/>
        <item x="10"/>
        <item t="default"/>
      </items>
    </pivotField>
    <pivotField showAll="0"/>
    <pivotField showAll="0"/>
    <pivotField showAll="0"/>
    <pivotField showAll="0"/>
    <pivotField showAll="0"/>
    <pivotField showAll="0"/>
    <pivotField showAll="0"/>
    <pivotField dataField="1" numFmtId="10" showAll="0"/>
    <pivotField showAll="0"/>
    <pivotField showAll="0"/>
    <pivotField showAll="0"/>
    <pivotField showAll="0"/>
    <pivotField showAll="0"/>
    <pivotField showAll="0"/>
    <pivotField showAll="0"/>
    <pivotField dataField="1" numFmtId="10" showAll="0"/>
    <pivotField showAll="0"/>
    <pivotField showAll="0"/>
    <pivotField showAll="0"/>
    <pivotField showAll="0"/>
  </pivotFields>
  <rowFields count="1">
    <field x="5"/>
  </rowFields>
  <rowItems count="12">
    <i>
      <x/>
    </i>
    <i>
      <x v="1"/>
    </i>
    <i>
      <x v="2"/>
    </i>
    <i>
      <x v="3"/>
    </i>
    <i>
      <x v="4"/>
    </i>
    <i>
      <x v="5"/>
    </i>
    <i>
      <x v="6"/>
    </i>
    <i>
      <x v="7"/>
    </i>
    <i>
      <x v="8"/>
    </i>
    <i>
      <x v="9"/>
    </i>
    <i>
      <x v="10"/>
    </i>
    <i t="grand">
      <x/>
    </i>
  </rowItems>
  <colFields count="1">
    <field x="-2"/>
  </colFields>
  <colItems count="2">
    <i>
      <x/>
    </i>
    <i i="1">
      <x v="1"/>
    </i>
  </colItems>
  <dataFields count="2">
    <dataField name="Suma de PONDERACIÓN" fld="13" baseField="0" baseItem="0"/>
    <dataField name="Suma de Total alcanzado ponderado" fld="21" baseField="0" baseItem="0"/>
  </dataFields>
  <formats count="5">
    <format dxfId="4">
      <pivotArea outline="0" collapsedLevelsAreSubtotals="1" fieldPosition="0"/>
    </format>
    <format dxfId="3">
      <pivotArea outline="0" collapsedLevelsAreSubtotals="1" fieldPosition="0"/>
    </format>
    <format dxfId="2">
      <pivotArea dataOnly="0" labelOnly="1" outline="0" fieldPosition="0">
        <references count="1">
          <reference field="4294967294" count="1">
            <x v="0"/>
          </reference>
        </references>
      </pivotArea>
    </format>
    <format dxfId="1">
      <pivotArea collapsedLevelsAreSubtotals="1" fieldPosition="0">
        <references count="2">
          <reference field="4294967294" count="1" selected="0">
            <x v="1"/>
          </reference>
          <reference field="5" count="0"/>
        </references>
      </pivotArea>
    </format>
    <format dxfId="0">
      <pivotArea collapsedLevelsAreSubtotals="1" fieldPosition="0">
        <references count="2">
          <reference field="4294967294" count="1" selected="0">
            <x v="0"/>
          </reference>
          <reference field="5" count="0"/>
        </references>
      </pivotArea>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PivotStyleLight1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4" cacheId="0" applyNumberFormats="0" applyBorderFormats="0" applyFontFormats="0" applyPatternFormats="0" applyAlignmentFormats="0" applyWidthHeightFormats="1" dataCaption="Valores" updatedVersion="6" minRefreshableVersion="3" useAutoFormatting="1" itemPrintTitles="1" createdVersion="7" indent="0" outline="1" outlineData="1" multipleFieldFilters="0" chartFormat="1">
  <location ref="A14:C22" firstHeaderRow="0" firstDataRow="1" firstDataCol="1"/>
  <pivotFields count="26">
    <pivotField showAll="0"/>
    <pivotField showAll="0"/>
    <pivotField showAll="0"/>
    <pivotField showAll="0"/>
    <pivotField axis="axisRow" showAll="0">
      <items count="13">
        <item x="1"/>
        <item x="2"/>
        <item x="5"/>
        <item x="6"/>
        <item x="4"/>
        <item x="3"/>
        <item x="0"/>
        <item m="1" x="11"/>
        <item m="1" x="9"/>
        <item m="1" x="7"/>
        <item m="1" x="10"/>
        <item m="1" x="8"/>
        <item t="default"/>
      </items>
    </pivotField>
    <pivotField showAll="0"/>
    <pivotField showAll="0"/>
    <pivotField showAll="0"/>
    <pivotField showAll="0"/>
    <pivotField showAll="0"/>
    <pivotField showAll="0"/>
    <pivotField showAll="0"/>
    <pivotField showAll="0"/>
    <pivotField dataField="1" numFmtId="10" showAll="0"/>
    <pivotField showAll="0"/>
    <pivotField showAll="0"/>
    <pivotField showAll="0"/>
    <pivotField showAll="0"/>
    <pivotField showAll="0"/>
    <pivotField showAll="0"/>
    <pivotField showAll="0"/>
    <pivotField dataField="1" numFmtId="10" showAll="0"/>
    <pivotField showAll="0"/>
    <pivotField showAll="0"/>
    <pivotField showAll="0"/>
    <pivotField showAll="0"/>
  </pivotFields>
  <rowFields count="1">
    <field x="4"/>
  </rowFields>
  <rowItems count="8">
    <i>
      <x/>
    </i>
    <i>
      <x v="1"/>
    </i>
    <i>
      <x v="2"/>
    </i>
    <i>
      <x v="3"/>
    </i>
    <i>
      <x v="4"/>
    </i>
    <i>
      <x v="5"/>
    </i>
    <i>
      <x v="6"/>
    </i>
    <i t="grand">
      <x/>
    </i>
  </rowItems>
  <colFields count="1">
    <field x="-2"/>
  </colFields>
  <colItems count="2">
    <i>
      <x/>
    </i>
    <i i="1">
      <x v="1"/>
    </i>
  </colItems>
  <dataFields count="2">
    <dataField name="Suma de PONDERACIÓN" fld="13" baseField="0" baseItem="0"/>
    <dataField name="Suma de Total alcanzado ponderado" fld="21" baseField="0" baseItem="0"/>
  </dataFields>
  <formats count="3">
    <format dxfId="7">
      <pivotArea outline="0" collapsedLevelsAreSubtotals="1" fieldPosition="0"/>
    </format>
    <format dxfId="6">
      <pivotArea outline="0" collapsedLevelsAreSubtotals="1" fieldPosition="0"/>
    </format>
    <format dxfId="5">
      <pivotArea dataOnly="0" labelOnly="1" outline="0" fieldPosition="0">
        <references count="1">
          <reference field="4294967294" count="1">
            <x v="0"/>
          </reference>
        </references>
      </pivotArea>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PivotStyleLight2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7" indent="0" outline="1" outlineData="1" multipleFieldFilters="0">
  <location ref="A3:C10" firstHeaderRow="0" firstDataRow="1" firstDataCol="1"/>
  <pivotFields count="26">
    <pivotField showAll="0"/>
    <pivotField showAll="0"/>
    <pivotField showAll="0"/>
    <pivotField axis="axisRow" showAll="0">
      <items count="7">
        <item x="3"/>
        <item x="2"/>
        <item x="0"/>
        <item x="1"/>
        <item x="5"/>
        <item x="4"/>
        <item t="default"/>
      </items>
    </pivotField>
    <pivotField showAll="0"/>
    <pivotField showAll="0"/>
    <pivotField showAll="0"/>
    <pivotField showAll="0"/>
    <pivotField showAll="0"/>
    <pivotField showAll="0"/>
    <pivotField showAll="0"/>
    <pivotField showAll="0"/>
    <pivotField showAll="0"/>
    <pivotField dataField="1" numFmtId="10" showAll="0"/>
    <pivotField showAll="0"/>
    <pivotField showAll="0"/>
    <pivotField showAll="0"/>
    <pivotField showAll="0"/>
    <pivotField showAll="0"/>
    <pivotField showAll="0"/>
    <pivotField showAll="0"/>
    <pivotField dataField="1" numFmtId="10" showAll="0"/>
    <pivotField showAll="0"/>
    <pivotField showAll="0"/>
    <pivotField showAll="0"/>
    <pivotField showAll="0"/>
  </pivotFields>
  <rowFields count="1">
    <field x="3"/>
  </rowFields>
  <rowItems count="7">
    <i>
      <x/>
    </i>
    <i>
      <x v="1"/>
    </i>
    <i>
      <x v="2"/>
    </i>
    <i>
      <x v="3"/>
    </i>
    <i>
      <x v="4"/>
    </i>
    <i>
      <x v="5"/>
    </i>
    <i t="grand">
      <x/>
    </i>
  </rowItems>
  <colFields count="1">
    <field x="-2"/>
  </colFields>
  <colItems count="2">
    <i>
      <x/>
    </i>
    <i i="1">
      <x v="1"/>
    </i>
  </colItems>
  <dataFields count="2">
    <dataField name="Suma de PONDERACIÓN" fld="13" baseField="0" baseItem="0"/>
    <dataField name="Suma de Total alcanzado ponderado" fld="21" baseField="0" baseItem="0"/>
  </dataFields>
  <formats count="4">
    <format dxfId="11">
      <pivotArea collapsedLevelsAreSubtotals="1" fieldPosition="0">
        <references count="1">
          <reference field="3" count="0"/>
        </references>
      </pivotArea>
    </format>
    <format dxfId="10">
      <pivotArea outline="0" collapsedLevelsAreSubtotals="1" fieldPosition="0"/>
    </format>
    <format dxfId="9">
      <pivotArea dataOnly="0" labelOnly="1" outline="0" fieldPosition="0">
        <references count="1">
          <reference field="4294967294" count="1">
            <x v="0"/>
          </reference>
        </references>
      </pivotArea>
    </format>
    <format dxfId="8">
      <pivotArea grandRow="1" outline="0" collapsedLevelsAreSubtotals="1" fieldPosition="0"/>
    </format>
  </formats>
  <pivotTableStyleInfo name="PivotStyleLight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Z143"/>
  <sheetViews>
    <sheetView showGridLines="0" tabSelected="1" zoomScale="70" zoomScaleNormal="70" zoomScalePageLayoutView="70" workbookViewId="0">
      <pane ySplit="9" topLeftCell="A10" activePane="bottomLeft" state="frozen"/>
      <selection activeCell="E1" sqref="E1"/>
      <selection pane="bottomLeft" activeCell="F11" sqref="F11"/>
    </sheetView>
  </sheetViews>
  <sheetFormatPr baseColWidth="10" defaultColWidth="10.85546875" defaultRowHeight="12.75" x14ac:dyDescent="0.2"/>
  <cols>
    <col min="1" max="1" width="11" style="1" customWidth="1"/>
    <col min="2" max="2" width="13" style="1" customWidth="1"/>
    <col min="3" max="3" width="21.5703125" style="1" customWidth="1"/>
    <col min="4" max="4" width="23.7109375" style="1" customWidth="1"/>
    <col min="5" max="5" width="21.140625" style="1" customWidth="1"/>
    <col min="6" max="6" width="19.42578125" style="1" bestFit="1" customWidth="1"/>
    <col min="7" max="7" width="15.42578125" style="1" customWidth="1"/>
    <col min="8" max="8" width="25.42578125" style="1" customWidth="1"/>
    <col min="9" max="9" width="12.28515625" style="1" customWidth="1"/>
    <col min="10" max="10" width="23.28515625" style="1" customWidth="1"/>
    <col min="11" max="12" width="15.28515625" style="1" customWidth="1"/>
    <col min="13" max="13" width="24.28515625" style="40" customWidth="1"/>
    <col min="14" max="14" width="12.140625" style="1" customWidth="1"/>
    <col min="15" max="15" width="20.5703125" style="40" bestFit="1" customWidth="1"/>
    <col min="16" max="17" width="21" style="40" bestFit="1" customWidth="1"/>
    <col min="18" max="18" width="19.85546875" style="40" customWidth="1"/>
    <col min="19" max="19" width="24" style="1" bestFit="1" customWidth="1"/>
    <col min="20" max="20" width="15" style="1" customWidth="1"/>
    <col min="21" max="21" width="14" style="1" customWidth="1"/>
    <col min="22" max="22" width="17.85546875" style="1" customWidth="1"/>
    <col min="23" max="23" width="56.85546875" style="1" customWidth="1"/>
    <col min="24" max="24" width="31" style="1" customWidth="1"/>
    <col min="25" max="25" width="38.140625" style="1" customWidth="1"/>
    <col min="26" max="26" width="40.42578125" style="1" customWidth="1"/>
    <col min="27" max="16384" width="10.85546875" style="1"/>
  </cols>
  <sheetData>
    <row r="1" spans="1:26" ht="24.75" customHeight="1" x14ac:dyDescent="0.2">
      <c r="A1" s="108"/>
      <c r="B1" s="108"/>
      <c r="C1" s="108"/>
      <c r="D1" s="108"/>
      <c r="E1" s="109" t="s">
        <v>0</v>
      </c>
      <c r="F1" s="110"/>
      <c r="G1" s="110"/>
      <c r="H1" s="110"/>
      <c r="I1" s="110"/>
      <c r="J1" s="110"/>
      <c r="K1" s="110"/>
      <c r="L1" s="110"/>
      <c r="M1" s="111"/>
      <c r="N1" s="110"/>
      <c r="O1" s="110"/>
      <c r="P1" s="110"/>
      <c r="Q1" s="110"/>
      <c r="R1" s="110"/>
      <c r="S1" s="110"/>
      <c r="T1" s="110"/>
      <c r="U1" s="110"/>
      <c r="V1" s="110"/>
      <c r="W1" s="110"/>
      <c r="X1" s="110"/>
      <c r="Y1" s="110"/>
      <c r="Z1" s="112"/>
    </row>
    <row r="2" spans="1:26" ht="24.75" customHeight="1" x14ac:dyDescent="0.2">
      <c r="A2" s="108"/>
      <c r="B2" s="108"/>
      <c r="C2" s="108"/>
      <c r="D2" s="108"/>
      <c r="E2" s="113"/>
      <c r="F2" s="114"/>
      <c r="G2" s="114"/>
      <c r="H2" s="114"/>
      <c r="I2" s="114"/>
      <c r="J2" s="114"/>
      <c r="K2" s="114"/>
      <c r="L2" s="114"/>
      <c r="M2" s="115"/>
      <c r="N2" s="114"/>
      <c r="O2" s="114"/>
      <c r="P2" s="114"/>
      <c r="Q2" s="114"/>
      <c r="R2" s="114"/>
      <c r="S2" s="114"/>
      <c r="T2" s="114"/>
      <c r="U2" s="114"/>
      <c r="V2" s="114"/>
      <c r="W2" s="114"/>
      <c r="X2" s="114"/>
      <c r="Y2" s="114"/>
      <c r="Z2" s="116"/>
    </row>
    <row r="3" spans="1:26" ht="24.75" customHeight="1" x14ac:dyDescent="0.2">
      <c r="A3" s="108"/>
      <c r="B3" s="108"/>
      <c r="C3" s="108"/>
      <c r="D3" s="108"/>
      <c r="E3" s="117"/>
      <c r="F3" s="118"/>
      <c r="G3" s="118"/>
      <c r="H3" s="118"/>
      <c r="I3" s="118"/>
      <c r="J3" s="118"/>
      <c r="K3" s="118"/>
      <c r="L3" s="118"/>
      <c r="M3" s="119"/>
      <c r="N3" s="118"/>
      <c r="O3" s="118"/>
      <c r="P3" s="118"/>
      <c r="Q3" s="118"/>
      <c r="R3" s="118"/>
      <c r="S3" s="118"/>
      <c r="T3" s="118"/>
      <c r="U3" s="118"/>
      <c r="V3" s="118"/>
      <c r="W3" s="118"/>
      <c r="X3" s="118"/>
      <c r="Y3" s="118"/>
      <c r="Z3" s="120"/>
    </row>
    <row r="4" spans="1:26" x14ac:dyDescent="0.2">
      <c r="A4" s="121" t="s">
        <v>269</v>
      </c>
      <c r="B4" s="121"/>
      <c r="C4" s="121"/>
      <c r="D4" s="121"/>
      <c r="E4" s="121"/>
      <c r="F4" s="121"/>
      <c r="G4" s="121"/>
      <c r="H4" s="121"/>
      <c r="I4" s="121"/>
      <c r="J4" s="121"/>
      <c r="K4" s="121"/>
      <c r="L4" s="121"/>
      <c r="M4" s="122"/>
      <c r="N4" s="121"/>
      <c r="O4" s="123"/>
      <c r="P4" s="123"/>
      <c r="Q4" s="123"/>
      <c r="R4" s="123"/>
      <c r="S4" s="121"/>
      <c r="T4" s="121"/>
      <c r="U4" s="121"/>
      <c r="V4" s="121"/>
      <c r="W4" s="121"/>
      <c r="X4" s="121"/>
      <c r="Y4" s="121"/>
      <c r="Z4" s="121"/>
    </row>
    <row r="5" spans="1:26" x14ac:dyDescent="0.2">
      <c r="A5" s="121" t="s">
        <v>268</v>
      </c>
      <c r="B5" s="121"/>
      <c r="C5" s="121"/>
      <c r="D5" s="121"/>
      <c r="E5" s="121"/>
      <c r="F5" s="121"/>
      <c r="G5" s="121"/>
      <c r="H5" s="121"/>
      <c r="I5" s="121"/>
      <c r="J5" s="121"/>
      <c r="K5" s="121"/>
      <c r="L5" s="121"/>
      <c r="M5" s="122"/>
      <c r="N5" s="121"/>
      <c r="O5" s="123"/>
      <c r="P5" s="123"/>
      <c r="Q5" s="123"/>
      <c r="R5" s="123"/>
      <c r="S5" s="121"/>
      <c r="T5" s="121"/>
      <c r="U5" s="121"/>
      <c r="V5" s="121"/>
      <c r="W5" s="121"/>
      <c r="X5" s="121"/>
      <c r="Y5" s="121"/>
      <c r="Z5" s="121"/>
    </row>
    <row r="6" spans="1:26" ht="15" customHeight="1" x14ac:dyDescent="0.2">
      <c r="A6" s="121" t="s">
        <v>329</v>
      </c>
      <c r="B6" s="121"/>
      <c r="C6" s="121"/>
      <c r="D6" s="121"/>
      <c r="E6" s="121"/>
      <c r="F6" s="121"/>
      <c r="G6" s="121"/>
      <c r="H6" s="121"/>
      <c r="I6" s="121"/>
      <c r="J6" s="121"/>
      <c r="K6" s="121"/>
      <c r="L6" s="121"/>
      <c r="M6" s="122"/>
      <c r="N6" s="121"/>
      <c r="O6" s="123"/>
      <c r="P6" s="123"/>
      <c r="Q6" s="123"/>
      <c r="R6" s="123"/>
      <c r="S6" s="121"/>
      <c r="T6" s="121"/>
      <c r="U6" s="121"/>
      <c r="V6" s="121"/>
      <c r="W6" s="121"/>
      <c r="X6" s="121"/>
      <c r="Y6" s="121"/>
      <c r="Z6" s="121"/>
    </row>
    <row r="7" spans="1:26" x14ac:dyDescent="0.2">
      <c r="A7" s="104"/>
      <c r="B7" s="105"/>
      <c r="C7" s="105"/>
      <c r="D7" s="105"/>
      <c r="E7" s="105"/>
      <c r="F7" s="105"/>
      <c r="G7" s="105"/>
      <c r="H7" s="105"/>
      <c r="I7" s="105"/>
      <c r="J7" s="105"/>
      <c r="K7" s="105"/>
      <c r="L7" s="105"/>
      <c r="M7" s="106"/>
      <c r="N7" s="105"/>
      <c r="O7" s="105"/>
      <c r="P7" s="105"/>
      <c r="Q7" s="105"/>
      <c r="R7" s="105"/>
      <c r="S7" s="105"/>
      <c r="T7" s="105"/>
      <c r="U7" s="105"/>
      <c r="V7" s="105"/>
      <c r="W7" s="105"/>
      <c r="X7" s="105"/>
      <c r="Y7" s="105"/>
      <c r="Z7" s="107"/>
    </row>
    <row r="8" spans="1:26" ht="15.75" customHeight="1" x14ac:dyDescent="0.2">
      <c r="A8" s="96" t="s">
        <v>1</v>
      </c>
      <c r="B8" s="96"/>
      <c r="C8" s="96"/>
      <c r="D8" s="96"/>
      <c r="E8" s="96"/>
      <c r="F8" s="96"/>
      <c r="G8" s="96"/>
      <c r="H8" s="96"/>
      <c r="I8" s="96"/>
      <c r="J8" s="96"/>
      <c r="K8" s="96"/>
      <c r="L8" s="96"/>
      <c r="M8" s="97"/>
      <c r="N8" s="96"/>
      <c r="O8" s="98" t="s">
        <v>2</v>
      </c>
      <c r="P8" s="99"/>
      <c r="Q8" s="99"/>
      <c r="R8" s="99"/>
      <c r="S8" s="99"/>
      <c r="T8" s="99"/>
      <c r="U8" s="99"/>
      <c r="V8" s="100"/>
      <c r="W8" s="101" t="s">
        <v>3</v>
      </c>
      <c r="X8" s="102"/>
      <c r="Y8" s="102"/>
      <c r="Z8" s="103"/>
    </row>
    <row r="9" spans="1:26" ht="51.75" customHeight="1" x14ac:dyDescent="0.2">
      <c r="A9" s="2" t="s">
        <v>29</v>
      </c>
      <c r="B9" s="2" t="s">
        <v>253</v>
      </c>
      <c r="C9" s="2" t="s">
        <v>4</v>
      </c>
      <c r="D9" s="2" t="s">
        <v>5</v>
      </c>
      <c r="E9" s="2" t="s">
        <v>6</v>
      </c>
      <c r="F9" s="2" t="s">
        <v>8</v>
      </c>
      <c r="G9" s="2" t="s">
        <v>18</v>
      </c>
      <c r="H9" s="3" t="s">
        <v>19</v>
      </c>
      <c r="I9" s="2" t="s">
        <v>20</v>
      </c>
      <c r="J9" s="2" t="s">
        <v>21</v>
      </c>
      <c r="K9" s="3" t="s">
        <v>22</v>
      </c>
      <c r="L9" s="2" t="s">
        <v>244</v>
      </c>
      <c r="M9" s="3" t="s">
        <v>23</v>
      </c>
      <c r="N9" s="15" t="s">
        <v>7</v>
      </c>
      <c r="O9" s="16" t="s">
        <v>9</v>
      </c>
      <c r="P9" s="16" t="s">
        <v>10</v>
      </c>
      <c r="Q9" s="16" t="s">
        <v>11</v>
      </c>
      <c r="R9" s="16" t="s">
        <v>12</v>
      </c>
      <c r="S9" s="16" t="s">
        <v>330</v>
      </c>
      <c r="T9" s="15" t="s">
        <v>244</v>
      </c>
      <c r="U9" s="15" t="s">
        <v>13</v>
      </c>
      <c r="V9" s="15" t="s">
        <v>273</v>
      </c>
      <c r="W9" s="16" t="s">
        <v>14</v>
      </c>
      <c r="X9" s="16" t="s">
        <v>15</v>
      </c>
      <c r="Y9" s="16" t="s">
        <v>16</v>
      </c>
      <c r="Z9" s="16" t="s">
        <v>17</v>
      </c>
    </row>
    <row r="10" spans="1:26" s="6" customFormat="1" ht="112.5" customHeight="1" x14ac:dyDescent="0.2">
      <c r="A10" s="70">
        <v>1</v>
      </c>
      <c r="B10" s="11" t="s">
        <v>254</v>
      </c>
      <c r="C10" s="12" t="s">
        <v>30</v>
      </c>
      <c r="D10" s="20" t="s">
        <v>262</v>
      </c>
      <c r="E10" s="22" t="s">
        <v>31</v>
      </c>
      <c r="F10" s="14" t="s">
        <v>38</v>
      </c>
      <c r="G10" s="5" t="s">
        <v>49</v>
      </c>
      <c r="H10" s="5" t="s">
        <v>50</v>
      </c>
      <c r="I10" s="5" t="s">
        <v>255</v>
      </c>
      <c r="J10" s="5" t="s">
        <v>183</v>
      </c>
      <c r="K10" s="5" t="s">
        <v>27</v>
      </c>
      <c r="L10" s="5" t="s">
        <v>245</v>
      </c>
      <c r="M10" s="24">
        <v>4</v>
      </c>
      <c r="N10" s="4">
        <v>1.9699999999999999E-2</v>
      </c>
      <c r="O10" s="28"/>
      <c r="P10" s="28"/>
      <c r="Q10" s="28"/>
      <c r="R10" s="28"/>
      <c r="S10" s="43">
        <f>+MIN(O10:R10)</f>
        <v>0</v>
      </c>
      <c r="T10" s="42" t="s">
        <v>247</v>
      </c>
      <c r="U10" s="17">
        <f t="shared" ref="U10:U41" si="0">+S10/M10</f>
        <v>0</v>
      </c>
      <c r="V10" s="13">
        <f t="shared" ref="V10:V41" si="1">+IF(U10&lt;=100%,U10*N10,N10)</f>
        <v>0</v>
      </c>
      <c r="W10" s="58"/>
      <c r="X10" s="58"/>
      <c r="Y10" s="58"/>
      <c r="Z10" s="58"/>
    </row>
    <row r="11" spans="1:26" s="6" customFormat="1" ht="114" customHeight="1" x14ac:dyDescent="0.2">
      <c r="A11" s="70">
        <v>2</v>
      </c>
      <c r="B11" s="11" t="s">
        <v>254</v>
      </c>
      <c r="C11" s="12" t="s">
        <v>30</v>
      </c>
      <c r="D11" s="20" t="s">
        <v>262</v>
      </c>
      <c r="E11" s="22" t="s">
        <v>31</v>
      </c>
      <c r="F11" s="14" t="s">
        <v>38</v>
      </c>
      <c r="G11" s="5" t="s">
        <v>51</v>
      </c>
      <c r="H11" s="5" t="s">
        <v>52</v>
      </c>
      <c r="I11" s="5" t="s">
        <v>255</v>
      </c>
      <c r="J11" s="5" t="s">
        <v>51</v>
      </c>
      <c r="K11" s="5" t="s">
        <v>27</v>
      </c>
      <c r="L11" s="5" t="s">
        <v>245</v>
      </c>
      <c r="M11" s="27">
        <v>7.0000000000000007E-2</v>
      </c>
      <c r="N11" s="4">
        <v>1.9699999999999999E-2</v>
      </c>
      <c r="O11" s="29"/>
      <c r="P11" s="29"/>
      <c r="Q11" s="29"/>
      <c r="R11" s="29"/>
      <c r="S11" s="44">
        <f>+MAX(O11:R11)</f>
        <v>0</v>
      </c>
      <c r="T11" s="42" t="s">
        <v>248</v>
      </c>
      <c r="U11" s="17">
        <f t="shared" si="0"/>
        <v>0</v>
      </c>
      <c r="V11" s="13">
        <f t="shared" si="1"/>
        <v>0</v>
      </c>
      <c r="W11" s="58"/>
      <c r="X11" s="58"/>
      <c r="Y11" s="58"/>
      <c r="Z11" s="58"/>
    </row>
    <row r="12" spans="1:26" s="6" customFormat="1" ht="146.25" customHeight="1" x14ac:dyDescent="0.2">
      <c r="A12" s="70">
        <v>3</v>
      </c>
      <c r="B12" s="11" t="s">
        <v>254</v>
      </c>
      <c r="C12" s="12" t="s">
        <v>30</v>
      </c>
      <c r="D12" s="20" t="s">
        <v>262</v>
      </c>
      <c r="E12" s="22" t="s">
        <v>31</v>
      </c>
      <c r="F12" s="14" t="s">
        <v>38</v>
      </c>
      <c r="G12" s="5" t="s">
        <v>53</v>
      </c>
      <c r="H12" s="5" t="s">
        <v>54</v>
      </c>
      <c r="I12" s="5" t="s">
        <v>255</v>
      </c>
      <c r="J12" s="5" t="s">
        <v>184</v>
      </c>
      <c r="K12" s="5" t="s">
        <v>27</v>
      </c>
      <c r="L12" s="5" t="s">
        <v>277</v>
      </c>
      <c r="M12" s="67">
        <v>1.5</v>
      </c>
      <c r="N12" s="4">
        <v>2.63E-2</v>
      </c>
      <c r="O12" s="30"/>
      <c r="P12" s="30"/>
      <c r="Q12" s="30"/>
      <c r="R12" s="30"/>
      <c r="S12" s="45">
        <f>+MAX(O12:R12)</f>
        <v>0</v>
      </c>
      <c r="T12" s="42" t="s">
        <v>249</v>
      </c>
      <c r="U12" s="17">
        <f t="shared" si="0"/>
        <v>0</v>
      </c>
      <c r="V12" s="13">
        <f t="shared" si="1"/>
        <v>0</v>
      </c>
      <c r="W12" s="58"/>
      <c r="X12" s="58"/>
      <c r="Y12" s="58"/>
      <c r="Z12" s="58"/>
    </row>
    <row r="13" spans="1:26" s="6" customFormat="1" ht="128.25" customHeight="1" x14ac:dyDescent="0.2">
      <c r="A13" s="70">
        <v>4</v>
      </c>
      <c r="B13" s="11" t="s">
        <v>254</v>
      </c>
      <c r="C13" s="12" t="s">
        <v>30</v>
      </c>
      <c r="D13" s="20" t="s">
        <v>262</v>
      </c>
      <c r="E13" s="22" t="s">
        <v>31</v>
      </c>
      <c r="F13" s="14" t="s">
        <v>38</v>
      </c>
      <c r="G13" s="5" t="s">
        <v>55</v>
      </c>
      <c r="H13" s="5" t="s">
        <v>56</v>
      </c>
      <c r="I13" s="5" t="s">
        <v>256</v>
      </c>
      <c r="J13" s="5" t="s">
        <v>185</v>
      </c>
      <c r="K13" s="5" t="s">
        <v>27</v>
      </c>
      <c r="L13" s="5" t="s">
        <v>245</v>
      </c>
      <c r="M13" s="41">
        <v>1500</v>
      </c>
      <c r="N13" s="4">
        <v>2.63E-2</v>
      </c>
      <c r="O13" s="31"/>
      <c r="P13" s="31"/>
      <c r="Q13" s="31"/>
      <c r="R13" s="31"/>
      <c r="S13" s="46">
        <f>SUM(O13:R13)</f>
        <v>0</v>
      </c>
      <c r="T13" s="42" t="s">
        <v>250</v>
      </c>
      <c r="U13" s="17">
        <f t="shared" si="0"/>
        <v>0</v>
      </c>
      <c r="V13" s="13">
        <f t="shared" si="1"/>
        <v>0</v>
      </c>
      <c r="W13" s="58"/>
      <c r="X13" s="58"/>
      <c r="Y13" s="58"/>
      <c r="Z13" s="58"/>
    </row>
    <row r="14" spans="1:26" s="6" customFormat="1" ht="94.5" customHeight="1" x14ac:dyDescent="0.2">
      <c r="A14" s="70">
        <v>5</v>
      </c>
      <c r="B14" s="11" t="s">
        <v>254</v>
      </c>
      <c r="C14" s="12" t="s">
        <v>30</v>
      </c>
      <c r="D14" s="20" t="s">
        <v>262</v>
      </c>
      <c r="E14" s="22" t="s">
        <v>31</v>
      </c>
      <c r="F14" s="14" t="s">
        <v>38</v>
      </c>
      <c r="G14" s="5" t="s">
        <v>57</v>
      </c>
      <c r="H14" s="5" t="s">
        <v>58</v>
      </c>
      <c r="I14" s="5" t="s">
        <v>255</v>
      </c>
      <c r="J14" s="5" t="s">
        <v>186</v>
      </c>
      <c r="K14" s="5" t="s">
        <v>27</v>
      </c>
      <c r="L14" s="5" t="s">
        <v>277</v>
      </c>
      <c r="M14" s="94">
        <v>1</v>
      </c>
      <c r="N14" s="4">
        <v>1.95E-2</v>
      </c>
      <c r="O14" s="30"/>
      <c r="P14" s="30"/>
      <c r="Q14" s="30"/>
      <c r="R14" s="30"/>
      <c r="S14" s="45">
        <f>+MAX(O14:R14)</f>
        <v>0</v>
      </c>
      <c r="T14" s="42" t="s">
        <v>249</v>
      </c>
      <c r="U14" s="17">
        <f t="shared" si="0"/>
        <v>0</v>
      </c>
      <c r="V14" s="13">
        <f t="shared" si="1"/>
        <v>0</v>
      </c>
      <c r="W14" s="58"/>
      <c r="X14" s="58"/>
      <c r="Y14" s="58"/>
      <c r="Z14" s="58"/>
    </row>
    <row r="15" spans="1:26" s="6" customFormat="1" ht="94.5" customHeight="1" x14ac:dyDescent="0.2">
      <c r="A15" s="70">
        <v>6</v>
      </c>
      <c r="B15" s="11" t="s">
        <v>254</v>
      </c>
      <c r="C15" s="12" t="s">
        <v>30</v>
      </c>
      <c r="D15" s="20" t="s">
        <v>262</v>
      </c>
      <c r="E15" s="22" t="s">
        <v>31</v>
      </c>
      <c r="F15" s="14" t="s">
        <v>38</v>
      </c>
      <c r="G15" s="5" t="s">
        <v>59</v>
      </c>
      <c r="H15" s="5" t="s">
        <v>60</v>
      </c>
      <c r="I15" s="5" t="s">
        <v>256</v>
      </c>
      <c r="J15" s="5" t="s">
        <v>187</v>
      </c>
      <c r="K15" s="5" t="s">
        <v>27</v>
      </c>
      <c r="L15" s="5" t="s">
        <v>245</v>
      </c>
      <c r="M15" s="41">
        <v>1200</v>
      </c>
      <c r="N15" s="4">
        <v>2.6000000000000002E-2</v>
      </c>
      <c r="O15" s="31"/>
      <c r="P15" s="31"/>
      <c r="Q15" s="31"/>
      <c r="R15" s="60"/>
      <c r="S15" s="46">
        <f t="shared" ref="S15:S20" si="2">SUM(O15:R15)</f>
        <v>0</v>
      </c>
      <c r="T15" s="42" t="s">
        <v>250</v>
      </c>
      <c r="U15" s="17">
        <f t="shared" si="0"/>
        <v>0</v>
      </c>
      <c r="V15" s="13">
        <f t="shared" si="1"/>
        <v>0</v>
      </c>
      <c r="W15" s="58"/>
      <c r="X15" s="58"/>
      <c r="Y15" s="58"/>
      <c r="Z15" s="58"/>
    </row>
    <row r="16" spans="1:26" s="6" customFormat="1" ht="106.5" customHeight="1" x14ac:dyDescent="0.2">
      <c r="A16" s="70">
        <v>7</v>
      </c>
      <c r="B16" s="11" t="s">
        <v>254</v>
      </c>
      <c r="C16" s="12" t="s">
        <v>30</v>
      </c>
      <c r="D16" s="20" t="s">
        <v>262</v>
      </c>
      <c r="E16" s="22" t="s">
        <v>31</v>
      </c>
      <c r="F16" s="14" t="s">
        <v>38</v>
      </c>
      <c r="G16" s="5" t="s">
        <v>61</v>
      </c>
      <c r="H16" s="5" t="s">
        <v>62</v>
      </c>
      <c r="I16" s="5" t="s">
        <v>256</v>
      </c>
      <c r="J16" s="5" t="s">
        <v>188</v>
      </c>
      <c r="K16" s="5" t="s">
        <v>27</v>
      </c>
      <c r="L16" s="5" t="s">
        <v>245</v>
      </c>
      <c r="M16" s="41">
        <v>248</v>
      </c>
      <c r="N16" s="4">
        <v>3.2500000000000001E-2</v>
      </c>
      <c r="O16" s="31"/>
      <c r="P16" s="31"/>
      <c r="Q16" s="31"/>
      <c r="R16" s="60"/>
      <c r="S16" s="46">
        <f t="shared" si="2"/>
        <v>0</v>
      </c>
      <c r="T16" s="42" t="s">
        <v>250</v>
      </c>
      <c r="U16" s="17">
        <f t="shared" si="0"/>
        <v>0</v>
      </c>
      <c r="V16" s="13">
        <f t="shared" si="1"/>
        <v>0</v>
      </c>
      <c r="W16" s="58"/>
      <c r="X16" s="58"/>
      <c r="Y16" s="58"/>
      <c r="Z16" s="58"/>
    </row>
    <row r="17" spans="1:26" s="6" customFormat="1" ht="94.5" customHeight="1" x14ac:dyDescent="0.2">
      <c r="A17" s="70">
        <v>8</v>
      </c>
      <c r="B17" s="11" t="s">
        <v>254</v>
      </c>
      <c r="C17" s="12" t="s">
        <v>30</v>
      </c>
      <c r="D17" s="20" t="s">
        <v>262</v>
      </c>
      <c r="E17" s="22" t="s">
        <v>31</v>
      </c>
      <c r="F17" s="14" t="s">
        <v>38</v>
      </c>
      <c r="G17" s="5" t="s">
        <v>63</v>
      </c>
      <c r="H17" s="5" t="s">
        <v>64</v>
      </c>
      <c r="I17" s="5" t="s">
        <v>256</v>
      </c>
      <c r="J17" s="5" t="s">
        <v>189</v>
      </c>
      <c r="K17" s="5" t="s">
        <v>27</v>
      </c>
      <c r="L17" s="5" t="s">
        <v>245</v>
      </c>
      <c r="M17" s="24">
        <v>3</v>
      </c>
      <c r="N17" s="4">
        <v>6.5000000000000006E-3</v>
      </c>
      <c r="O17" s="90"/>
      <c r="P17" s="28"/>
      <c r="Q17" s="28"/>
      <c r="R17" s="28"/>
      <c r="S17" s="43">
        <f t="shared" si="2"/>
        <v>0</v>
      </c>
      <c r="T17" s="42" t="s">
        <v>250</v>
      </c>
      <c r="U17" s="17">
        <f t="shared" si="0"/>
        <v>0</v>
      </c>
      <c r="V17" s="13">
        <f t="shared" si="1"/>
        <v>0</v>
      </c>
      <c r="W17" s="58"/>
      <c r="X17" s="58"/>
      <c r="Y17" s="58"/>
      <c r="Z17" s="58"/>
    </row>
    <row r="18" spans="1:26" s="6" customFormat="1" ht="94.5" customHeight="1" x14ac:dyDescent="0.2">
      <c r="A18" s="70">
        <v>9</v>
      </c>
      <c r="B18" s="11" t="s">
        <v>254</v>
      </c>
      <c r="C18" s="12" t="s">
        <v>30</v>
      </c>
      <c r="D18" s="20" t="s">
        <v>262</v>
      </c>
      <c r="E18" s="22" t="s">
        <v>31</v>
      </c>
      <c r="F18" s="14" t="s">
        <v>38</v>
      </c>
      <c r="G18" s="5" t="s">
        <v>65</v>
      </c>
      <c r="H18" s="5" t="s">
        <v>66</v>
      </c>
      <c r="I18" s="5" t="s">
        <v>256</v>
      </c>
      <c r="J18" s="5" t="s">
        <v>190</v>
      </c>
      <c r="K18" s="5" t="s">
        <v>27</v>
      </c>
      <c r="L18" s="5" t="s">
        <v>245</v>
      </c>
      <c r="M18" s="24">
        <v>3</v>
      </c>
      <c r="N18" s="4">
        <v>6.5000000000000006E-3</v>
      </c>
      <c r="O18" s="28"/>
      <c r="P18" s="28"/>
      <c r="Q18" s="28"/>
      <c r="R18" s="28"/>
      <c r="S18" s="43">
        <f t="shared" si="2"/>
        <v>0</v>
      </c>
      <c r="T18" s="42" t="s">
        <v>250</v>
      </c>
      <c r="U18" s="17">
        <f t="shared" si="0"/>
        <v>0</v>
      </c>
      <c r="V18" s="13">
        <f t="shared" si="1"/>
        <v>0</v>
      </c>
      <c r="W18" s="58"/>
      <c r="X18" s="58"/>
      <c r="Y18" s="58"/>
      <c r="Z18" s="58"/>
    </row>
    <row r="19" spans="1:26" s="6" customFormat="1" ht="94.5" customHeight="1" x14ac:dyDescent="0.2">
      <c r="A19" s="70">
        <v>10</v>
      </c>
      <c r="B19" s="11" t="s">
        <v>254</v>
      </c>
      <c r="C19" s="12" t="s">
        <v>30</v>
      </c>
      <c r="D19" s="20" t="s">
        <v>263</v>
      </c>
      <c r="E19" s="22" t="s">
        <v>31</v>
      </c>
      <c r="F19" s="14" t="s">
        <v>38</v>
      </c>
      <c r="G19" s="5" t="s">
        <v>67</v>
      </c>
      <c r="H19" s="5" t="s">
        <v>68</v>
      </c>
      <c r="I19" s="5" t="s">
        <v>256</v>
      </c>
      <c r="J19" s="5" t="s">
        <v>191</v>
      </c>
      <c r="K19" s="5" t="s">
        <v>27</v>
      </c>
      <c r="L19" s="5" t="s">
        <v>245</v>
      </c>
      <c r="M19" s="41">
        <v>348</v>
      </c>
      <c r="N19" s="4">
        <v>6.6E-3</v>
      </c>
      <c r="O19" s="28"/>
      <c r="P19" s="28"/>
      <c r="Q19" s="31"/>
      <c r="R19" s="60"/>
      <c r="S19" s="43">
        <f t="shared" si="2"/>
        <v>0</v>
      </c>
      <c r="T19" s="42" t="s">
        <v>250</v>
      </c>
      <c r="U19" s="17">
        <f t="shared" si="0"/>
        <v>0</v>
      </c>
      <c r="V19" s="13">
        <f t="shared" si="1"/>
        <v>0</v>
      </c>
      <c r="W19" s="58"/>
      <c r="X19" s="58"/>
      <c r="Y19" s="58"/>
      <c r="Z19" s="58"/>
    </row>
    <row r="20" spans="1:26" s="6" customFormat="1" ht="94.5" customHeight="1" x14ac:dyDescent="0.2">
      <c r="A20" s="70">
        <v>11</v>
      </c>
      <c r="B20" s="11" t="s">
        <v>254</v>
      </c>
      <c r="C20" s="12" t="s">
        <v>30</v>
      </c>
      <c r="D20" s="20" t="s">
        <v>263</v>
      </c>
      <c r="E20" s="22" t="s">
        <v>31</v>
      </c>
      <c r="F20" s="14" t="s">
        <v>38</v>
      </c>
      <c r="G20" s="5" t="s">
        <v>69</v>
      </c>
      <c r="H20" s="5" t="s">
        <v>70</v>
      </c>
      <c r="I20" s="5" t="s">
        <v>256</v>
      </c>
      <c r="J20" s="5" t="s">
        <v>267</v>
      </c>
      <c r="K20" s="5" t="s">
        <v>27</v>
      </c>
      <c r="L20" s="5" t="s">
        <v>245</v>
      </c>
      <c r="M20" s="24">
        <v>25</v>
      </c>
      <c r="N20" s="4">
        <v>6.6E-3</v>
      </c>
      <c r="O20" s="90"/>
      <c r="P20" s="28"/>
      <c r="Q20" s="28"/>
      <c r="R20" s="28"/>
      <c r="S20" s="43">
        <f t="shared" si="2"/>
        <v>0</v>
      </c>
      <c r="T20" s="42" t="s">
        <v>250</v>
      </c>
      <c r="U20" s="17">
        <f t="shared" si="0"/>
        <v>0</v>
      </c>
      <c r="V20" s="13">
        <f t="shared" si="1"/>
        <v>0</v>
      </c>
      <c r="W20" s="58"/>
      <c r="X20" s="58"/>
      <c r="Y20" s="58"/>
      <c r="Z20" s="58"/>
    </row>
    <row r="21" spans="1:26" s="6" customFormat="1" ht="94.5" customHeight="1" x14ac:dyDescent="0.2">
      <c r="A21" s="70">
        <v>12</v>
      </c>
      <c r="B21" s="11" t="s">
        <v>254</v>
      </c>
      <c r="C21" s="12" t="s">
        <v>30</v>
      </c>
      <c r="D21" s="20" t="s">
        <v>262</v>
      </c>
      <c r="E21" s="22" t="s">
        <v>32</v>
      </c>
      <c r="F21" s="14" t="s">
        <v>39</v>
      </c>
      <c r="G21" s="5" t="s">
        <v>71</v>
      </c>
      <c r="H21" s="5" t="s">
        <v>72</v>
      </c>
      <c r="I21" s="5" t="s">
        <v>255</v>
      </c>
      <c r="J21" s="5" t="s">
        <v>192</v>
      </c>
      <c r="K21" s="5" t="s">
        <v>27</v>
      </c>
      <c r="L21" s="5" t="s">
        <v>246</v>
      </c>
      <c r="M21" s="39">
        <v>8.0000000000000002E-3</v>
      </c>
      <c r="N21" s="4">
        <v>2.6499999999999999E-2</v>
      </c>
      <c r="O21" s="32"/>
      <c r="P21" s="32"/>
      <c r="Q21" s="32"/>
      <c r="R21" s="32"/>
      <c r="S21" s="59">
        <f>+R21</f>
        <v>0</v>
      </c>
      <c r="T21" s="42" t="s">
        <v>251</v>
      </c>
      <c r="U21" s="17">
        <f t="shared" si="0"/>
        <v>0</v>
      </c>
      <c r="V21" s="13">
        <f t="shared" si="1"/>
        <v>0</v>
      </c>
      <c r="W21" s="58"/>
      <c r="X21" s="58"/>
      <c r="Y21" s="58"/>
      <c r="Z21" s="58"/>
    </row>
    <row r="22" spans="1:26" s="6" customFormat="1" ht="94.5" customHeight="1" x14ac:dyDescent="0.2">
      <c r="A22" s="70">
        <v>13</v>
      </c>
      <c r="B22" s="11" t="s">
        <v>254</v>
      </c>
      <c r="C22" s="12" t="s">
        <v>30</v>
      </c>
      <c r="D22" s="20" t="s">
        <v>262</v>
      </c>
      <c r="E22" s="22" t="s">
        <v>32</v>
      </c>
      <c r="F22" s="14" t="s">
        <v>39</v>
      </c>
      <c r="G22" s="5" t="s">
        <v>73</v>
      </c>
      <c r="H22" s="5" t="s">
        <v>74</v>
      </c>
      <c r="I22" s="5" t="s">
        <v>257</v>
      </c>
      <c r="J22" s="5" t="s">
        <v>193</v>
      </c>
      <c r="K22" s="5" t="s">
        <v>27</v>
      </c>
      <c r="L22" s="5" t="s">
        <v>246</v>
      </c>
      <c r="M22" s="25">
        <v>4500000</v>
      </c>
      <c r="N22" s="4">
        <v>2.6000000000000002E-2</v>
      </c>
      <c r="O22" s="31"/>
      <c r="P22" s="31"/>
      <c r="Q22" s="31"/>
      <c r="R22" s="31"/>
      <c r="S22" s="46">
        <f>+R22</f>
        <v>0</v>
      </c>
      <c r="T22" s="42" t="s">
        <v>251</v>
      </c>
      <c r="U22" s="17">
        <f t="shared" si="0"/>
        <v>0</v>
      </c>
      <c r="V22" s="13">
        <f t="shared" si="1"/>
        <v>0</v>
      </c>
      <c r="W22" s="58"/>
      <c r="X22" s="58"/>
      <c r="Y22" s="58"/>
      <c r="Z22" s="58"/>
    </row>
    <row r="23" spans="1:26" s="6" customFormat="1" ht="94.5" customHeight="1" x14ac:dyDescent="0.2">
      <c r="A23" s="70">
        <v>14</v>
      </c>
      <c r="B23" s="11" t="s">
        <v>254</v>
      </c>
      <c r="C23" s="12" t="s">
        <v>30</v>
      </c>
      <c r="D23" s="20" t="s">
        <v>262</v>
      </c>
      <c r="E23" s="22" t="s">
        <v>32</v>
      </c>
      <c r="F23" s="14" t="s">
        <v>39</v>
      </c>
      <c r="G23" s="5" t="s">
        <v>75</v>
      </c>
      <c r="H23" s="5" t="s">
        <v>76</v>
      </c>
      <c r="I23" s="5" t="s">
        <v>256</v>
      </c>
      <c r="J23" s="5" t="s">
        <v>194</v>
      </c>
      <c r="K23" s="5" t="s">
        <v>27</v>
      </c>
      <c r="L23" s="5" t="s">
        <v>246</v>
      </c>
      <c r="M23" s="24">
        <v>110</v>
      </c>
      <c r="N23" s="4">
        <v>1.95E-2</v>
      </c>
      <c r="O23" s="28"/>
      <c r="P23" s="28"/>
      <c r="Q23" s="28"/>
      <c r="R23" s="28"/>
      <c r="S23" s="43">
        <f>+R23</f>
        <v>0</v>
      </c>
      <c r="T23" s="42" t="s">
        <v>251</v>
      </c>
      <c r="U23" s="17">
        <f t="shared" si="0"/>
        <v>0</v>
      </c>
      <c r="V23" s="13">
        <f t="shared" si="1"/>
        <v>0</v>
      </c>
      <c r="W23" s="58"/>
      <c r="X23" s="58"/>
      <c r="Y23" s="58"/>
      <c r="Z23" s="58"/>
    </row>
    <row r="24" spans="1:26" s="6" customFormat="1" ht="94.5" customHeight="1" x14ac:dyDescent="0.2">
      <c r="A24" s="70">
        <v>15</v>
      </c>
      <c r="B24" s="11" t="s">
        <v>254</v>
      </c>
      <c r="C24" s="12" t="s">
        <v>30</v>
      </c>
      <c r="D24" s="20" t="s">
        <v>262</v>
      </c>
      <c r="E24" s="22" t="s">
        <v>32</v>
      </c>
      <c r="F24" s="14" t="s">
        <v>39</v>
      </c>
      <c r="G24" s="5" t="s">
        <v>77</v>
      </c>
      <c r="H24" s="5" t="s">
        <v>78</v>
      </c>
      <c r="I24" s="5" t="s">
        <v>256</v>
      </c>
      <c r="J24" s="5" t="s">
        <v>195</v>
      </c>
      <c r="K24" s="5" t="s">
        <v>27</v>
      </c>
      <c r="L24" s="5" t="s">
        <v>245</v>
      </c>
      <c r="M24" s="25">
        <v>25000000</v>
      </c>
      <c r="N24" s="4">
        <v>2.6000000000000002E-2</v>
      </c>
      <c r="O24" s="31"/>
      <c r="P24" s="31"/>
      <c r="Q24" s="31"/>
      <c r="R24" s="31"/>
      <c r="S24" s="46">
        <f>SUM(O24:R24)</f>
        <v>0</v>
      </c>
      <c r="T24" s="42" t="s">
        <v>250</v>
      </c>
      <c r="U24" s="17">
        <f t="shared" si="0"/>
        <v>0</v>
      </c>
      <c r="V24" s="13">
        <f t="shared" si="1"/>
        <v>0</v>
      </c>
      <c r="W24" s="58"/>
      <c r="X24" s="58"/>
      <c r="Y24" s="58"/>
      <c r="Z24" s="58"/>
    </row>
    <row r="25" spans="1:26" s="6" customFormat="1" ht="94.5" customHeight="1" x14ac:dyDescent="0.2">
      <c r="A25" s="70">
        <v>16</v>
      </c>
      <c r="B25" s="11" t="s">
        <v>254</v>
      </c>
      <c r="C25" s="12" t="s">
        <v>30</v>
      </c>
      <c r="D25" s="20" t="s">
        <v>263</v>
      </c>
      <c r="E25" s="22" t="s">
        <v>32</v>
      </c>
      <c r="F25" s="14" t="s">
        <v>39</v>
      </c>
      <c r="G25" s="5" t="s">
        <v>79</v>
      </c>
      <c r="H25" s="5" t="s">
        <v>80</v>
      </c>
      <c r="I25" s="5" t="s">
        <v>255</v>
      </c>
      <c r="J25" s="5" t="s">
        <v>196</v>
      </c>
      <c r="K25" s="5" t="s">
        <v>27</v>
      </c>
      <c r="L25" s="5" t="s">
        <v>245</v>
      </c>
      <c r="M25" s="68">
        <v>4</v>
      </c>
      <c r="N25" s="4">
        <v>1.3000000000000001E-2</v>
      </c>
      <c r="O25" s="28"/>
      <c r="P25" s="28"/>
      <c r="Q25" s="28"/>
      <c r="R25" s="28"/>
      <c r="S25" s="43">
        <f>SUM(O25:R25)</f>
        <v>0</v>
      </c>
      <c r="T25" s="42" t="s">
        <v>250</v>
      </c>
      <c r="U25" s="17">
        <f t="shared" si="0"/>
        <v>0</v>
      </c>
      <c r="V25" s="13">
        <f t="shared" si="1"/>
        <v>0</v>
      </c>
      <c r="W25" s="58"/>
      <c r="X25" s="58"/>
      <c r="Y25" s="58"/>
      <c r="Z25" s="58"/>
    </row>
    <row r="26" spans="1:26" s="6" customFormat="1" ht="94.5" customHeight="1" x14ac:dyDescent="0.2">
      <c r="A26" s="70">
        <v>17</v>
      </c>
      <c r="B26" s="11" t="s">
        <v>254</v>
      </c>
      <c r="C26" s="12" t="s">
        <v>30</v>
      </c>
      <c r="D26" s="20" t="s">
        <v>262</v>
      </c>
      <c r="E26" s="22" t="s">
        <v>32</v>
      </c>
      <c r="F26" s="14" t="s">
        <v>39</v>
      </c>
      <c r="G26" s="5" t="s">
        <v>81</v>
      </c>
      <c r="H26" s="5" t="s">
        <v>82</v>
      </c>
      <c r="I26" s="5" t="s">
        <v>256</v>
      </c>
      <c r="J26" s="5" t="s">
        <v>197</v>
      </c>
      <c r="K26" s="5" t="s">
        <v>27</v>
      </c>
      <c r="L26" s="5" t="s">
        <v>245</v>
      </c>
      <c r="M26" s="23">
        <v>50000</v>
      </c>
      <c r="N26" s="4">
        <v>1.3000000000000001E-2</v>
      </c>
      <c r="O26" s="33"/>
      <c r="P26" s="33"/>
      <c r="Q26" s="33"/>
      <c r="R26" s="33"/>
      <c r="S26" s="48">
        <f>SUM(O26:R26)</f>
        <v>0</v>
      </c>
      <c r="T26" s="42" t="s">
        <v>250</v>
      </c>
      <c r="U26" s="17">
        <f t="shared" si="0"/>
        <v>0</v>
      </c>
      <c r="V26" s="13">
        <f t="shared" si="1"/>
        <v>0</v>
      </c>
      <c r="W26" s="58"/>
      <c r="X26" s="58"/>
      <c r="Y26" s="58"/>
      <c r="Z26" s="58"/>
    </row>
    <row r="27" spans="1:26" s="6" customFormat="1" ht="166.5" customHeight="1" x14ac:dyDescent="0.2">
      <c r="A27" s="70">
        <v>18</v>
      </c>
      <c r="B27" s="11" t="s">
        <v>254</v>
      </c>
      <c r="C27" s="12" t="s">
        <v>30</v>
      </c>
      <c r="D27" s="20" t="s">
        <v>262</v>
      </c>
      <c r="E27" s="22" t="s">
        <v>33</v>
      </c>
      <c r="F27" s="14" t="s">
        <v>40</v>
      </c>
      <c r="G27" s="5" t="s">
        <v>83</v>
      </c>
      <c r="H27" s="5" t="s">
        <v>84</v>
      </c>
      <c r="I27" s="5" t="s">
        <v>255</v>
      </c>
      <c r="J27" s="5" t="s">
        <v>198</v>
      </c>
      <c r="K27" s="5" t="s">
        <v>27</v>
      </c>
      <c r="L27" s="5" t="s">
        <v>245</v>
      </c>
      <c r="M27" s="27">
        <v>0.8</v>
      </c>
      <c r="N27" s="4">
        <v>2.6000000000000002E-2</v>
      </c>
      <c r="O27" s="50"/>
      <c r="P27" s="50"/>
      <c r="Q27" s="50"/>
      <c r="R27" s="50"/>
      <c r="S27" s="44">
        <f>+MAX(O27:R27)</f>
        <v>0</v>
      </c>
      <c r="T27" s="42" t="s">
        <v>248</v>
      </c>
      <c r="U27" s="17">
        <f t="shared" si="0"/>
        <v>0</v>
      </c>
      <c r="V27" s="13">
        <f t="shared" si="1"/>
        <v>0</v>
      </c>
      <c r="W27" s="58"/>
      <c r="X27" s="58"/>
      <c r="Y27" s="58"/>
      <c r="Z27" s="58"/>
    </row>
    <row r="28" spans="1:26" s="6" customFormat="1" ht="89.25" x14ac:dyDescent="0.2">
      <c r="A28" s="70">
        <v>19</v>
      </c>
      <c r="B28" s="11" t="s">
        <v>254</v>
      </c>
      <c r="C28" s="12" t="s">
        <v>30</v>
      </c>
      <c r="D28" s="20" t="s">
        <v>262</v>
      </c>
      <c r="E28" s="22" t="s">
        <v>33</v>
      </c>
      <c r="F28" s="14" t="s">
        <v>40</v>
      </c>
      <c r="G28" s="5" t="s">
        <v>85</v>
      </c>
      <c r="H28" s="5" t="s">
        <v>86</v>
      </c>
      <c r="I28" s="5" t="s">
        <v>256</v>
      </c>
      <c r="J28" s="5" t="s">
        <v>199</v>
      </c>
      <c r="K28" s="5" t="s">
        <v>27</v>
      </c>
      <c r="L28" s="5" t="s">
        <v>245</v>
      </c>
      <c r="M28" s="24">
        <v>4</v>
      </c>
      <c r="N28" s="4">
        <v>1.3000000000000001E-2</v>
      </c>
      <c r="O28" s="51"/>
      <c r="P28" s="51"/>
      <c r="Q28" s="51"/>
      <c r="R28" s="51"/>
      <c r="S28" s="43">
        <f t="shared" ref="S28:S38" si="3">SUM(O28:R28)</f>
        <v>0</v>
      </c>
      <c r="T28" s="42" t="s">
        <v>250</v>
      </c>
      <c r="U28" s="17">
        <f t="shared" si="0"/>
        <v>0</v>
      </c>
      <c r="V28" s="13">
        <f t="shared" si="1"/>
        <v>0</v>
      </c>
      <c r="W28" s="58"/>
      <c r="X28" s="58"/>
      <c r="Y28" s="58"/>
      <c r="Z28" s="58"/>
    </row>
    <row r="29" spans="1:26" s="6" customFormat="1" ht="89.25" x14ac:dyDescent="0.2">
      <c r="A29" s="70">
        <v>20</v>
      </c>
      <c r="B29" s="11" t="s">
        <v>254</v>
      </c>
      <c r="C29" s="12" t="s">
        <v>30</v>
      </c>
      <c r="D29" s="20" t="s">
        <v>262</v>
      </c>
      <c r="E29" s="22" t="s">
        <v>33</v>
      </c>
      <c r="F29" s="14" t="s">
        <v>40</v>
      </c>
      <c r="G29" s="5" t="s">
        <v>87</v>
      </c>
      <c r="H29" s="5" t="s">
        <v>88</v>
      </c>
      <c r="I29" s="5" t="s">
        <v>255</v>
      </c>
      <c r="J29" s="5" t="s">
        <v>200</v>
      </c>
      <c r="K29" s="5" t="s">
        <v>27</v>
      </c>
      <c r="L29" s="5" t="s">
        <v>245</v>
      </c>
      <c r="M29" s="25">
        <v>10000</v>
      </c>
      <c r="N29" s="4">
        <v>1.3000000000000001E-2</v>
      </c>
      <c r="O29" s="52"/>
      <c r="P29" s="52"/>
      <c r="Q29" s="52"/>
      <c r="R29" s="52"/>
      <c r="S29" s="43">
        <f t="shared" si="3"/>
        <v>0</v>
      </c>
      <c r="T29" s="42" t="s">
        <v>250</v>
      </c>
      <c r="U29" s="17">
        <f t="shared" si="0"/>
        <v>0</v>
      </c>
      <c r="V29" s="13">
        <f t="shared" si="1"/>
        <v>0</v>
      </c>
      <c r="W29" s="58"/>
      <c r="X29" s="58"/>
      <c r="Y29" s="58"/>
      <c r="Z29" s="58"/>
    </row>
    <row r="30" spans="1:26" s="6" customFormat="1" ht="94.5" customHeight="1" x14ac:dyDescent="0.2">
      <c r="A30" s="70">
        <v>21</v>
      </c>
      <c r="B30" s="11" t="s">
        <v>254</v>
      </c>
      <c r="C30" s="12" t="s">
        <v>30</v>
      </c>
      <c r="D30" s="20" t="s">
        <v>262</v>
      </c>
      <c r="E30" s="22" t="s">
        <v>33</v>
      </c>
      <c r="F30" s="14" t="s">
        <v>40</v>
      </c>
      <c r="G30" s="5" t="s">
        <v>89</v>
      </c>
      <c r="H30" s="5" t="s">
        <v>90</v>
      </c>
      <c r="I30" s="5" t="s">
        <v>255</v>
      </c>
      <c r="J30" s="5" t="s">
        <v>201</v>
      </c>
      <c r="K30" s="5" t="s">
        <v>27</v>
      </c>
      <c r="L30" s="5" t="s">
        <v>245</v>
      </c>
      <c r="M30" s="24">
        <v>14</v>
      </c>
      <c r="N30" s="4">
        <v>1.3000000000000001E-2</v>
      </c>
      <c r="O30" s="51"/>
      <c r="P30" s="51"/>
      <c r="Q30" s="51"/>
      <c r="R30" s="51"/>
      <c r="S30" s="43">
        <f t="shared" si="3"/>
        <v>0</v>
      </c>
      <c r="T30" s="42" t="s">
        <v>250</v>
      </c>
      <c r="U30" s="17">
        <f t="shared" si="0"/>
        <v>0</v>
      </c>
      <c r="V30" s="13">
        <f t="shared" si="1"/>
        <v>0</v>
      </c>
      <c r="W30" s="58"/>
      <c r="X30" s="58"/>
      <c r="Y30" s="58"/>
      <c r="Z30" s="58"/>
    </row>
    <row r="31" spans="1:26" s="6" customFormat="1" ht="94.5" customHeight="1" x14ac:dyDescent="0.2">
      <c r="A31" s="70">
        <v>22</v>
      </c>
      <c r="B31" s="11" t="s">
        <v>254</v>
      </c>
      <c r="C31" s="12" t="s">
        <v>30</v>
      </c>
      <c r="D31" s="20" t="s">
        <v>263</v>
      </c>
      <c r="E31" s="22" t="s">
        <v>34</v>
      </c>
      <c r="F31" s="14" t="s">
        <v>41</v>
      </c>
      <c r="G31" s="5" t="s">
        <v>91</v>
      </c>
      <c r="H31" s="5" t="s">
        <v>92</v>
      </c>
      <c r="I31" s="5" t="s">
        <v>256</v>
      </c>
      <c r="J31" s="5" t="s">
        <v>202</v>
      </c>
      <c r="K31" s="5" t="s">
        <v>27</v>
      </c>
      <c r="L31" s="5" t="s">
        <v>245</v>
      </c>
      <c r="M31" s="23">
        <v>1500000000</v>
      </c>
      <c r="N31" s="4">
        <v>3.2500000000000001E-2</v>
      </c>
      <c r="O31" s="33"/>
      <c r="P31" s="33"/>
      <c r="Q31" s="33"/>
      <c r="R31" s="33"/>
      <c r="S31" s="48">
        <f t="shared" si="3"/>
        <v>0</v>
      </c>
      <c r="T31" s="42" t="s">
        <v>250</v>
      </c>
      <c r="U31" s="17">
        <f t="shared" si="0"/>
        <v>0</v>
      </c>
      <c r="V31" s="13">
        <f t="shared" si="1"/>
        <v>0</v>
      </c>
      <c r="W31" s="58"/>
      <c r="X31" s="58"/>
      <c r="Y31" s="58"/>
      <c r="Z31" s="58"/>
    </row>
    <row r="32" spans="1:26" s="6" customFormat="1" ht="94.5" customHeight="1" x14ac:dyDescent="0.2">
      <c r="A32" s="70">
        <v>23</v>
      </c>
      <c r="B32" s="11" t="s">
        <v>254</v>
      </c>
      <c r="C32" s="12" t="s">
        <v>30</v>
      </c>
      <c r="D32" s="20" t="s">
        <v>263</v>
      </c>
      <c r="E32" s="22" t="s">
        <v>34</v>
      </c>
      <c r="F32" s="14" t="s">
        <v>41</v>
      </c>
      <c r="G32" s="5" t="s">
        <v>93</v>
      </c>
      <c r="H32" s="5" t="s">
        <v>94</v>
      </c>
      <c r="I32" s="5" t="s">
        <v>255</v>
      </c>
      <c r="J32" s="5" t="s">
        <v>203</v>
      </c>
      <c r="K32" s="5" t="s">
        <v>27</v>
      </c>
      <c r="L32" s="5" t="s">
        <v>245</v>
      </c>
      <c r="M32" s="24">
        <v>2</v>
      </c>
      <c r="N32" s="4">
        <v>1.3000000000000001E-2</v>
      </c>
      <c r="O32" s="28"/>
      <c r="P32" s="28"/>
      <c r="Q32" s="28"/>
      <c r="R32" s="28"/>
      <c r="S32" s="43">
        <f t="shared" si="3"/>
        <v>0</v>
      </c>
      <c r="T32" s="42" t="s">
        <v>250</v>
      </c>
      <c r="U32" s="17">
        <f t="shared" si="0"/>
        <v>0</v>
      </c>
      <c r="V32" s="13">
        <f t="shared" si="1"/>
        <v>0</v>
      </c>
      <c r="W32" s="58"/>
      <c r="X32" s="58"/>
      <c r="Y32" s="58"/>
      <c r="Z32" s="58"/>
    </row>
    <row r="33" spans="1:26" s="6" customFormat="1" ht="94.5" customHeight="1" x14ac:dyDescent="0.2">
      <c r="A33" s="70">
        <v>24</v>
      </c>
      <c r="B33" s="11" t="s">
        <v>254</v>
      </c>
      <c r="C33" s="12" t="s">
        <v>30</v>
      </c>
      <c r="D33" s="20" t="s">
        <v>263</v>
      </c>
      <c r="E33" s="22" t="s">
        <v>34</v>
      </c>
      <c r="F33" s="14" t="s">
        <v>41</v>
      </c>
      <c r="G33" s="5" t="s">
        <v>95</v>
      </c>
      <c r="H33" s="5" t="s">
        <v>96</v>
      </c>
      <c r="I33" s="5" t="s">
        <v>256</v>
      </c>
      <c r="J33" s="5" t="s">
        <v>204</v>
      </c>
      <c r="K33" s="5" t="s">
        <v>27</v>
      </c>
      <c r="L33" s="5" t="s">
        <v>245</v>
      </c>
      <c r="M33" s="25">
        <v>8600</v>
      </c>
      <c r="N33" s="4">
        <v>1.3000000000000001E-2</v>
      </c>
      <c r="O33" s="31"/>
      <c r="P33" s="31"/>
      <c r="Q33" s="31"/>
      <c r="R33" s="31"/>
      <c r="S33" s="46">
        <f t="shared" si="3"/>
        <v>0</v>
      </c>
      <c r="T33" s="42" t="s">
        <v>250</v>
      </c>
      <c r="U33" s="17">
        <f t="shared" si="0"/>
        <v>0</v>
      </c>
      <c r="V33" s="13">
        <f t="shared" si="1"/>
        <v>0</v>
      </c>
      <c r="W33" s="58"/>
      <c r="X33" s="58"/>
      <c r="Y33" s="58"/>
      <c r="Z33" s="58"/>
    </row>
    <row r="34" spans="1:26" s="6" customFormat="1" ht="127.5" customHeight="1" x14ac:dyDescent="0.2">
      <c r="A34" s="70">
        <v>25</v>
      </c>
      <c r="B34" s="11" t="s">
        <v>254</v>
      </c>
      <c r="C34" s="12" t="s">
        <v>30</v>
      </c>
      <c r="D34" s="20" t="s">
        <v>263</v>
      </c>
      <c r="E34" s="22" t="s">
        <v>34</v>
      </c>
      <c r="F34" s="14" t="s">
        <v>41</v>
      </c>
      <c r="G34" s="5" t="s">
        <v>97</v>
      </c>
      <c r="H34" s="5" t="s">
        <v>98</v>
      </c>
      <c r="I34" s="5" t="s">
        <v>255</v>
      </c>
      <c r="J34" s="5" t="s">
        <v>97</v>
      </c>
      <c r="K34" s="5" t="s">
        <v>27</v>
      </c>
      <c r="L34" s="5" t="s">
        <v>245</v>
      </c>
      <c r="M34" s="24">
        <v>15</v>
      </c>
      <c r="N34" s="4">
        <v>2.6000000000000002E-2</v>
      </c>
      <c r="O34" s="51"/>
      <c r="P34" s="28"/>
      <c r="Q34" s="28"/>
      <c r="R34" s="28"/>
      <c r="S34" s="43">
        <f t="shared" si="3"/>
        <v>0</v>
      </c>
      <c r="T34" s="42" t="s">
        <v>250</v>
      </c>
      <c r="U34" s="17">
        <f t="shared" si="0"/>
        <v>0</v>
      </c>
      <c r="V34" s="13">
        <f t="shared" si="1"/>
        <v>0</v>
      </c>
      <c r="W34" s="58"/>
      <c r="X34" s="58"/>
      <c r="Y34" s="58"/>
      <c r="Z34" s="58"/>
    </row>
    <row r="35" spans="1:26" s="6" customFormat="1" ht="159.75" customHeight="1" x14ac:dyDescent="0.2">
      <c r="A35" s="70">
        <v>26</v>
      </c>
      <c r="B35" s="11" t="s">
        <v>254</v>
      </c>
      <c r="C35" s="12" t="s">
        <v>30</v>
      </c>
      <c r="D35" s="20" t="s">
        <v>262</v>
      </c>
      <c r="E35" s="22" t="s">
        <v>35</v>
      </c>
      <c r="F35" s="14" t="s">
        <v>38</v>
      </c>
      <c r="G35" s="5" t="s">
        <v>99</v>
      </c>
      <c r="H35" s="5" t="s">
        <v>100</v>
      </c>
      <c r="I35" s="5" t="s">
        <v>255</v>
      </c>
      <c r="J35" s="5" t="s">
        <v>205</v>
      </c>
      <c r="K35" s="5" t="s">
        <v>27</v>
      </c>
      <c r="L35" s="5" t="s">
        <v>245</v>
      </c>
      <c r="M35" s="24">
        <v>14</v>
      </c>
      <c r="N35" s="4">
        <v>1.3000000000000001E-2</v>
      </c>
      <c r="O35" s="90"/>
      <c r="P35" s="28"/>
      <c r="Q35" s="28"/>
      <c r="R35" s="28"/>
      <c r="S35" s="43">
        <f t="shared" si="3"/>
        <v>0</v>
      </c>
      <c r="T35" s="42" t="s">
        <v>250</v>
      </c>
      <c r="U35" s="17">
        <f t="shared" si="0"/>
        <v>0</v>
      </c>
      <c r="V35" s="13">
        <f t="shared" si="1"/>
        <v>0</v>
      </c>
      <c r="W35" s="58"/>
      <c r="X35" s="58"/>
      <c r="Y35" s="58"/>
      <c r="Z35" s="58"/>
    </row>
    <row r="36" spans="1:26" s="6" customFormat="1" ht="120" customHeight="1" x14ac:dyDescent="0.2">
      <c r="A36" s="70">
        <v>27</v>
      </c>
      <c r="B36" s="11" t="s">
        <v>254</v>
      </c>
      <c r="C36" s="12" t="s">
        <v>30</v>
      </c>
      <c r="D36" s="20" t="s">
        <v>262</v>
      </c>
      <c r="E36" s="22" t="s">
        <v>35</v>
      </c>
      <c r="F36" s="14" t="s">
        <v>38</v>
      </c>
      <c r="G36" s="5" t="s">
        <v>278</v>
      </c>
      <c r="H36" s="5" t="s">
        <v>101</v>
      </c>
      <c r="I36" s="5" t="s">
        <v>255</v>
      </c>
      <c r="J36" s="5" t="s">
        <v>206</v>
      </c>
      <c r="K36" s="5" t="s">
        <v>27</v>
      </c>
      <c r="L36" s="5" t="s">
        <v>245</v>
      </c>
      <c r="M36" s="41">
        <v>300</v>
      </c>
      <c r="N36" s="4">
        <v>1.95E-2</v>
      </c>
      <c r="O36" s="91"/>
      <c r="P36" s="31"/>
      <c r="Q36" s="31"/>
      <c r="R36" s="31"/>
      <c r="S36" s="46">
        <f t="shared" si="3"/>
        <v>0</v>
      </c>
      <c r="T36" s="42" t="s">
        <v>250</v>
      </c>
      <c r="U36" s="17">
        <f t="shared" si="0"/>
        <v>0</v>
      </c>
      <c r="V36" s="13">
        <f t="shared" si="1"/>
        <v>0</v>
      </c>
      <c r="W36" s="58"/>
      <c r="X36" s="58"/>
      <c r="Y36" s="58"/>
      <c r="Z36" s="58"/>
    </row>
    <row r="37" spans="1:26" s="6" customFormat="1" ht="142.5" customHeight="1" x14ac:dyDescent="0.2">
      <c r="A37" s="70">
        <v>28</v>
      </c>
      <c r="B37" s="11" t="s">
        <v>254</v>
      </c>
      <c r="C37" s="12" t="s">
        <v>30</v>
      </c>
      <c r="D37" s="20" t="s">
        <v>262</v>
      </c>
      <c r="E37" s="22" t="s">
        <v>35</v>
      </c>
      <c r="F37" s="14" t="s">
        <v>38</v>
      </c>
      <c r="G37" s="5" t="s">
        <v>102</v>
      </c>
      <c r="H37" s="5" t="s">
        <v>103</v>
      </c>
      <c r="I37" s="5" t="s">
        <v>256</v>
      </c>
      <c r="J37" s="5" t="s">
        <v>207</v>
      </c>
      <c r="K37" s="5" t="s">
        <v>27</v>
      </c>
      <c r="L37" s="5" t="s">
        <v>245</v>
      </c>
      <c r="M37" s="24">
        <v>12</v>
      </c>
      <c r="N37" s="4">
        <v>1.3000000000000001E-2</v>
      </c>
      <c r="O37" s="90"/>
      <c r="P37" s="28"/>
      <c r="Q37" s="28"/>
      <c r="R37" s="28"/>
      <c r="S37" s="43">
        <f t="shared" si="3"/>
        <v>0</v>
      </c>
      <c r="T37" s="42" t="s">
        <v>250</v>
      </c>
      <c r="U37" s="17">
        <f t="shared" si="0"/>
        <v>0</v>
      </c>
      <c r="V37" s="13">
        <f t="shared" si="1"/>
        <v>0</v>
      </c>
      <c r="W37" s="58"/>
      <c r="X37" s="58"/>
      <c r="Y37" s="58"/>
      <c r="Z37" s="58"/>
    </row>
    <row r="38" spans="1:26" s="6" customFormat="1" ht="94.5" customHeight="1" x14ac:dyDescent="0.2">
      <c r="A38" s="70">
        <v>29</v>
      </c>
      <c r="B38" s="11" t="s">
        <v>254</v>
      </c>
      <c r="C38" s="12" t="s">
        <v>30</v>
      </c>
      <c r="D38" s="20" t="s">
        <v>262</v>
      </c>
      <c r="E38" s="22" t="s">
        <v>35</v>
      </c>
      <c r="F38" s="14" t="s">
        <v>42</v>
      </c>
      <c r="G38" s="5" t="s">
        <v>104</v>
      </c>
      <c r="H38" s="5" t="s">
        <v>105</v>
      </c>
      <c r="I38" s="5" t="s">
        <v>255</v>
      </c>
      <c r="J38" s="5" t="s">
        <v>208</v>
      </c>
      <c r="K38" s="5" t="s">
        <v>27</v>
      </c>
      <c r="L38" s="5" t="s">
        <v>245</v>
      </c>
      <c r="M38" s="24">
        <v>5</v>
      </c>
      <c r="N38" s="4">
        <v>1.95E-2</v>
      </c>
      <c r="O38" s="28"/>
      <c r="P38" s="28"/>
      <c r="Q38" s="28"/>
      <c r="R38" s="28"/>
      <c r="S38" s="43">
        <f t="shared" si="3"/>
        <v>0</v>
      </c>
      <c r="T38" s="42" t="s">
        <v>250</v>
      </c>
      <c r="U38" s="17">
        <f t="shared" si="0"/>
        <v>0</v>
      </c>
      <c r="V38" s="13">
        <f t="shared" si="1"/>
        <v>0</v>
      </c>
      <c r="W38" s="58"/>
      <c r="X38" s="58"/>
      <c r="Y38" s="58"/>
      <c r="Z38" s="58"/>
    </row>
    <row r="39" spans="1:26" s="6" customFormat="1" ht="94.5" customHeight="1" x14ac:dyDescent="0.2">
      <c r="A39" s="70">
        <v>30</v>
      </c>
      <c r="B39" s="11" t="s">
        <v>254</v>
      </c>
      <c r="C39" s="12" t="s">
        <v>30</v>
      </c>
      <c r="D39" s="20" t="s">
        <v>261</v>
      </c>
      <c r="E39" s="22" t="s">
        <v>36</v>
      </c>
      <c r="F39" s="14" t="s">
        <v>43</v>
      </c>
      <c r="G39" s="5" t="s">
        <v>106</v>
      </c>
      <c r="H39" s="5" t="s">
        <v>107</v>
      </c>
      <c r="I39" s="5" t="s">
        <v>255</v>
      </c>
      <c r="J39" s="5" t="s">
        <v>209</v>
      </c>
      <c r="K39" s="5" t="s">
        <v>27</v>
      </c>
      <c r="L39" s="5" t="s">
        <v>245</v>
      </c>
      <c r="M39" s="27">
        <v>0.75</v>
      </c>
      <c r="N39" s="4">
        <v>1.3000000000000001E-2</v>
      </c>
      <c r="O39" s="29"/>
      <c r="P39" s="29"/>
      <c r="Q39" s="29"/>
      <c r="R39" s="29"/>
      <c r="S39" s="44">
        <f>+MAX(O39:R39)</f>
        <v>0</v>
      </c>
      <c r="T39" s="42" t="s">
        <v>248</v>
      </c>
      <c r="U39" s="17">
        <f t="shared" si="0"/>
        <v>0</v>
      </c>
      <c r="V39" s="13">
        <f t="shared" si="1"/>
        <v>0</v>
      </c>
      <c r="W39" s="58"/>
      <c r="X39" s="58"/>
      <c r="Y39" s="58"/>
      <c r="Z39" s="58"/>
    </row>
    <row r="40" spans="1:26" s="6" customFormat="1" ht="94.5" customHeight="1" x14ac:dyDescent="0.2">
      <c r="A40" s="70">
        <v>31</v>
      </c>
      <c r="B40" s="11" t="s">
        <v>254</v>
      </c>
      <c r="C40" s="12" t="s">
        <v>30</v>
      </c>
      <c r="D40" s="20" t="s">
        <v>261</v>
      </c>
      <c r="E40" s="22" t="s">
        <v>36</v>
      </c>
      <c r="F40" s="14" t="s">
        <v>43</v>
      </c>
      <c r="G40" s="5" t="s">
        <v>108</v>
      </c>
      <c r="H40" s="5" t="s">
        <v>109</v>
      </c>
      <c r="I40" s="5" t="s">
        <v>255</v>
      </c>
      <c r="J40" s="5" t="s">
        <v>358</v>
      </c>
      <c r="K40" s="5" t="s">
        <v>27</v>
      </c>
      <c r="L40" s="5" t="s">
        <v>246</v>
      </c>
      <c r="M40" s="27">
        <v>0.85</v>
      </c>
      <c r="N40" s="4">
        <v>1.3000000000000001E-2</v>
      </c>
      <c r="O40" s="29"/>
      <c r="P40" s="29"/>
      <c r="Q40" s="29"/>
      <c r="R40" s="29"/>
      <c r="S40" s="44">
        <f>+MAX(O40:R40)</f>
        <v>0</v>
      </c>
      <c r="T40" s="42" t="s">
        <v>248</v>
      </c>
      <c r="U40" s="17">
        <f t="shared" si="0"/>
        <v>0</v>
      </c>
      <c r="V40" s="13">
        <f t="shared" si="1"/>
        <v>0</v>
      </c>
      <c r="W40" s="58"/>
      <c r="X40" s="58"/>
      <c r="Y40" s="58"/>
      <c r="Z40" s="58"/>
    </row>
    <row r="41" spans="1:26" s="6" customFormat="1" ht="94.5" customHeight="1" x14ac:dyDescent="0.2">
      <c r="A41" s="70">
        <v>32</v>
      </c>
      <c r="B41" s="11" t="s">
        <v>254</v>
      </c>
      <c r="C41" s="12" t="s">
        <v>30</v>
      </c>
      <c r="D41" s="20" t="s">
        <v>261</v>
      </c>
      <c r="E41" s="22" t="s">
        <v>36</v>
      </c>
      <c r="F41" s="14" t="s">
        <v>43</v>
      </c>
      <c r="G41" s="5" t="s">
        <v>110</v>
      </c>
      <c r="H41" s="5" t="s">
        <v>111</v>
      </c>
      <c r="I41" s="5" t="s">
        <v>256</v>
      </c>
      <c r="J41" s="5" t="s">
        <v>344</v>
      </c>
      <c r="K41" s="5" t="s">
        <v>27</v>
      </c>
      <c r="L41" s="5" t="s">
        <v>245</v>
      </c>
      <c r="M41" s="27">
        <v>0.8</v>
      </c>
      <c r="N41" s="4">
        <v>1.3000000000000001E-2</v>
      </c>
      <c r="O41" s="29"/>
      <c r="P41" s="29"/>
      <c r="Q41" s="29"/>
      <c r="R41" s="29"/>
      <c r="S41" s="44" t="e">
        <f>AVERAGE(O41:R41)</f>
        <v>#DIV/0!</v>
      </c>
      <c r="T41" s="42" t="s">
        <v>252</v>
      </c>
      <c r="U41" s="17" t="e">
        <f t="shared" si="0"/>
        <v>#DIV/0!</v>
      </c>
      <c r="V41" s="13" t="e">
        <f t="shared" si="1"/>
        <v>#DIV/0!</v>
      </c>
      <c r="W41" s="58"/>
      <c r="X41" s="58"/>
      <c r="Y41" s="58"/>
      <c r="Z41" s="58"/>
    </row>
    <row r="42" spans="1:26" s="6" customFormat="1" ht="94.5" customHeight="1" x14ac:dyDescent="0.2">
      <c r="A42" s="70">
        <v>33</v>
      </c>
      <c r="B42" s="11" t="s">
        <v>254</v>
      </c>
      <c r="C42" s="12" t="s">
        <v>30</v>
      </c>
      <c r="D42" s="20" t="s">
        <v>260</v>
      </c>
      <c r="E42" s="22" t="s">
        <v>37</v>
      </c>
      <c r="F42" s="14" t="s">
        <v>42</v>
      </c>
      <c r="G42" s="5" t="s">
        <v>112</v>
      </c>
      <c r="H42" s="5" t="s">
        <v>113</v>
      </c>
      <c r="I42" s="5" t="s">
        <v>256</v>
      </c>
      <c r="J42" s="5" t="s">
        <v>210</v>
      </c>
      <c r="K42" s="5" t="s">
        <v>27</v>
      </c>
      <c r="L42" s="5" t="s">
        <v>246</v>
      </c>
      <c r="M42" s="24" t="s">
        <v>242</v>
      </c>
      <c r="N42" s="4">
        <v>6.5000000000000006E-3</v>
      </c>
      <c r="O42" s="31"/>
      <c r="P42" s="31"/>
      <c r="Q42" s="31"/>
      <c r="R42" s="31"/>
      <c r="S42" s="46">
        <f>+R42</f>
        <v>0</v>
      </c>
      <c r="T42" s="42" t="s">
        <v>251</v>
      </c>
      <c r="U42" s="17">
        <f>+IF(S42&gt;0,100%,0)</f>
        <v>0</v>
      </c>
      <c r="V42" s="13">
        <f t="shared" ref="V42:V78" si="4">+IF(U42&lt;=100%,U42*N42,N42)</f>
        <v>0</v>
      </c>
      <c r="W42" s="58"/>
      <c r="X42" s="58"/>
      <c r="Y42" s="58"/>
      <c r="Z42" s="58"/>
    </row>
    <row r="43" spans="1:26" s="6" customFormat="1" ht="94.5" customHeight="1" x14ac:dyDescent="0.2">
      <c r="A43" s="70">
        <v>34</v>
      </c>
      <c r="B43" s="11" t="s">
        <v>254</v>
      </c>
      <c r="C43" s="12" t="s">
        <v>30</v>
      </c>
      <c r="D43" s="20" t="s">
        <v>260</v>
      </c>
      <c r="E43" s="22" t="s">
        <v>37</v>
      </c>
      <c r="F43" s="14" t="s">
        <v>42</v>
      </c>
      <c r="G43" s="5" t="s">
        <v>114</v>
      </c>
      <c r="H43" s="5" t="s">
        <v>115</v>
      </c>
      <c r="I43" s="5" t="s">
        <v>256</v>
      </c>
      <c r="J43" s="5" t="s">
        <v>211</v>
      </c>
      <c r="K43" s="5" t="s">
        <v>27</v>
      </c>
      <c r="L43" s="5" t="s">
        <v>246</v>
      </c>
      <c r="M43" s="24" t="s">
        <v>334</v>
      </c>
      <c r="N43" s="4">
        <v>6.5000000000000006E-3</v>
      </c>
      <c r="O43" s="35"/>
      <c r="P43" s="35"/>
      <c r="Q43" s="35"/>
      <c r="R43" s="35"/>
      <c r="S43" s="49">
        <f>+R43</f>
        <v>0</v>
      </c>
      <c r="T43" s="42" t="s">
        <v>251</v>
      </c>
      <c r="U43" s="17">
        <f>+IF(S43&gt;26%,100%,S43/26%)</f>
        <v>0</v>
      </c>
      <c r="V43" s="13">
        <f t="shared" si="4"/>
        <v>0</v>
      </c>
      <c r="W43" s="58"/>
      <c r="X43" s="58"/>
      <c r="Y43" s="58"/>
      <c r="Z43" s="58"/>
    </row>
    <row r="44" spans="1:26" s="6" customFormat="1" ht="94.5" customHeight="1" x14ac:dyDescent="0.2">
      <c r="A44" s="70">
        <v>35</v>
      </c>
      <c r="B44" s="11" t="s">
        <v>254</v>
      </c>
      <c r="C44" s="12" t="s">
        <v>30</v>
      </c>
      <c r="D44" s="20" t="s">
        <v>260</v>
      </c>
      <c r="E44" s="22" t="s">
        <v>37</v>
      </c>
      <c r="F44" s="14" t="s">
        <v>42</v>
      </c>
      <c r="G44" s="5" t="s">
        <v>116</v>
      </c>
      <c r="H44" s="5" t="s">
        <v>117</v>
      </c>
      <c r="I44" s="5" t="s">
        <v>256</v>
      </c>
      <c r="J44" s="5" t="s">
        <v>212</v>
      </c>
      <c r="K44" s="5" t="s">
        <v>27</v>
      </c>
      <c r="L44" s="5" t="s">
        <v>246</v>
      </c>
      <c r="M44" s="24" t="s">
        <v>279</v>
      </c>
      <c r="N44" s="4">
        <v>6.5000000000000006E-3</v>
      </c>
      <c r="O44" s="35"/>
      <c r="P44" s="35"/>
      <c r="Q44" s="35"/>
      <c r="R44" s="35"/>
      <c r="S44" s="49">
        <f>+IF(R44&lt;&gt;"",R44,IF(Q44&lt;&gt;"",Q44,IF(P44&lt;&gt;"",P44,O44)))</f>
        <v>0</v>
      </c>
      <c r="T44" s="42" t="s">
        <v>251</v>
      </c>
      <c r="U44" s="17">
        <f>+IF(S44&lt;=26%,100%,26%/S44)</f>
        <v>1</v>
      </c>
      <c r="V44" s="13">
        <f t="shared" si="4"/>
        <v>6.5000000000000006E-3</v>
      </c>
      <c r="W44" s="58"/>
      <c r="X44" s="58"/>
      <c r="Y44" s="58"/>
      <c r="Z44" s="58"/>
    </row>
    <row r="45" spans="1:26" s="6" customFormat="1" ht="94.5" customHeight="1" x14ac:dyDescent="0.2">
      <c r="A45" s="70">
        <v>36</v>
      </c>
      <c r="B45" s="11" t="s">
        <v>254</v>
      </c>
      <c r="C45" s="12" t="s">
        <v>30</v>
      </c>
      <c r="D45" s="20" t="s">
        <v>260</v>
      </c>
      <c r="E45" s="22" t="s">
        <v>37</v>
      </c>
      <c r="F45" s="14" t="s">
        <v>42</v>
      </c>
      <c r="G45" s="5" t="s">
        <v>118</v>
      </c>
      <c r="H45" s="5" t="s">
        <v>119</v>
      </c>
      <c r="I45" s="5" t="s">
        <v>256</v>
      </c>
      <c r="J45" s="5" t="s">
        <v>213</v>
      </c>
      <c r="K45" s="5" t="s">
        <v>27</v>
      </c>
      <c r="L45" s="5" t="s">
        <v>246</v>
      </c>
      <c r="M45" s="24" t="s">
        <v>335</v>
      </c>
      <c r="N45" s="4">
        <v>4.2500000000000003E-3</v>
      </c>
      <c r="O45" s="35"/>
      <c r="P45" s="35"/>
      <c r="Q45" s="35"/>
      <c r="R45" s="35"/>
      <c r="S45" s="49">
        <f>+R45</f>
        <v>0</v>
      </c>
      <c r="T45" s="42" t="s">
        <v>251</v>
      </c>
      <c r="U45" s="17">
        <f>+IF(S45&gt;96%,100%,S45/96%)</f>
        <v>0</v>
      </c>
      <c r="V45" s="13">
        <f t="shared" si="4"/>
        <v>0</v>
      </c>
      <c r="W45" s="58"/>
      <c r="X45" s="58"/>
      <c r="Y45" s="58"/>
      <c r="Z45" s="58"/>
    </row>
    <row r="46" spans="1:26" s="6" customFormat="1" ht="94.5" customHeight="1" x14ac:dyDescent="0.2">
      <c r="A46" s="70">
        <v>37</v>
      </c>
      <c r="B46" s="11" t="s">
        <v>254</v>
      </c>
      <c r="C46" s="12" t="s">
        <v>30</v>
      </c>
      <c r="D46" s="20" t="s">
        <v>260</v>
      </c>
      <c r="E46" s="22" t="s">
        <v>37</v>
      </c>
      <c r="F46" s="14" t="s">
        <v>42</v>
      </c>
      <c r="G46" s="5" t="s">
        <v>120</v>
      </c>
      <c r="H46" s="5" t="s">
        <v>121</v>
      </c>
      <c r="I46" s="5" t="s">
        <v>256</v>
      </c>
      <c r="J46" s="5" t="s">
        <v>214</v>
      </c>
      <c r="K46" s="5" t="s">
        <v>27</v>
      </c>
      <c r="L46" s="5" t="s">
        <v>246</v>
      </c>
      <c r="M46" s="24" t="s">
        <v>243</v>
      </c>
      <c r="N46" s="4">
        <v>4.2500000000000003E-3</v>
      </c>
      <c r="O46" s="35"/>
      <c r="P46" s="35"/>
      <c r="Q46" s="35"/>
      <c r="R46" s="35"/>
      <c r="S46" s="49">
        <f>+R46</f>
        <v>0</v>
      </c>
      <c r="T46" s="42" t="s">
        <v>251</v>
      </c>
      <c r="U46" s="17">
        <f>+IF(S46&gt;90%,100%,S46/90%)</f>
        <v>0</v>
      </c>
      <c r="V46" s="13">
        <f t="shared" si="4"/>
        <v>0</v>
      </c>
      <c r="W46" s="58"/>
      <c r="X46" s="58"/>
      <c r="Y46" s="58"/>
      <c r="Z46" s="58"/>
    </row>
    <row r="47" spans="1:26" s="6" customFormat="1" ht="94.5" customHeight="1" x14ac:dyDescent="0.2">
      <c r="A47" s="70">
        <v>38</v>
      </c>
      <c r="B47" s="11" t="s">
        <v>254</v>
      </c>
      <c r="C47" s="12" t="s">
        <v>30</v>
      </c>
      <c r="D47" s="20" t="s">
        <v>260</v>
      </c>
      <c r="E47" s="22" t="s">
        <v>37</v>
      </c>
      <c r="F47" s="14" t="s">
        <v>42</v>
      </c>
      <c r="G47" s="5" t="s">
        <v>122</v>
      </c>
      <c r="H47" s="5" t="s">
        <v>123</v>
      </c>
      <c r="I47" s="5" t="s">
        <v>256</v>
      </c>
      <c r="J47" s="5" t="s">
        <v>215</v>
      </c>
      <c r="K47" s="5" t="s">
        <v>27</v>
      </c>
      <c r="L47" s="5" t="s">
        <v>246</v>
      </c>
      <c r="M47" s="24" t="s">
        <v>243</v>
      </c>
      <c r="N47" s="4">
        <v>6.5000000000000006E-3</v>
      </c>
      <c r="O47" s="35"/>
      <c r="P47" s="35"/>
      <c r="Q47" s="35"/>
      <c r="R47" s="35"/>
      <c r="S47" s="49">
        <f>+R47</f>
        <v>0</v>
      </c>
      <c r="T47" s="42" t="s">
        <v>251</v>
      </c>
      <c r="U47" s="17">
        <f>+IF(S47&gt;90%,100%,S47/90%)</f>
        <v>0</v>
      </c>
      <c r="V47" s="13">
        <f t="shared" si="4"/>
        <v>0</v>
      </c>
      <c r="W47" s="58"/>
      <c r="X47" s="58"/>
      <c r="Y47" s="58"/>
      <c r="Z47" s="58"/>
    </row>
    <row r="48" spans="1:26" s="6" customFormat="1" ht="164.25" customHeight="1" x14ac:dyDescent="0.2">
      <c r="A48" s="70">
        <v>39</v>
      </c>
      <c r="B48" s="11" t="s">
        <v>254</v>
      </c>
      <c r="C48" s="12" t="s">
        <v>30</v>
      </c>
      <c r="D48" s="20" t="s">
        <v>265</v>
      </c>
      <c r="E48" s="22" t="s">
        <v>37</v>
      </c>
      <c r="F48" s="14" t="s">
        <v>44</v>
      </c>
      <c r="G48" s="5" t="s">
        <v>124</v>
      </c>
      <c r="H48" s="5" t="s">
        <v>125</v>
      </c>
      <c r="I48" s="5" t="s">
        <v>255</v>
      </c>
      <c r="J48" s="5" t="s">
        <v>324</v>
      </c>
      <c r="K48" s="5" t="s">
        <v>27</v>
      </c>
      <c r="L48" s="5" t="s">
        <v>245</v>
      </c>
      <c r="M48" s="86">
        <v>37500000000</v>
      </c>
      <c r="N48" s="4">
        <v>1.95E-2</v>
      </c>
      <c r="O48" s="33"/>
      <c r="P48" s="33"/>
      <c r="Q48" s="33"/>
      <c r="R48" s="33"/>
      <c r="S48" s="48">
        <f>SUM(O48:R48)</f>
        <v>0</v>
      </c>
      <c r="T48" s="42" t="s">
        <v>250</v>
      </c>
      <c r="U48" s="17">
        <f t="shared" ref="U48:U84" si="5">+S48/M48</f>
        <v>0</v>
      </c>
      <c r="V48" s="13">
        <f t="shared" si="4"/>
        <v>0</v>
      </c>
      <c r="W48" s="58"/>
      <c r="X48" s="58"/>
      <c r="Y48" s="58"/>
      <c r="Z48" s="58"/>
    </row>
    <row r="49" spans="1:26" s="6" customFormat="1" ht="94.5" customHeight="1" x14ac:dyDescent="0.2">
      <c r="A49" s="70">
        <v>40</v>
      </c>
      <c r="B49" s="11" t="s">
        <v>254</v>
      </c>
      <c r="C49" s="12" t="s">
        <v>30</v>
      </c>
      <c r="D49" s="20" t="s">
        <v>264</v>
      </c>
      <c r="E49" s="22" t="s">
        <v>37</v>
      </c>
      <c r="F49" s="14" t="s">
        <v>44</v>
      </c>
      <c r="G49" s="5" t="s">
        <v>126</v>
      </c>
      <c r="H49" s="5" t="s">
        <v>284</v>
      </c>
      <c r="I49" s="5" t="s">
        <v>255</v>
      </c>
      <c r="J49" s="5" t="s">
        <v>216</v>
      </c>
      <c r="K49" s="5" t="s">
        <v>27</v>
      </c>
      <c r="L49" s="5" t="s">
        <v>245</v>
      </c>
      <c r="M49" s="68">
        <v>0.82</v>
      </c>
      <c r="N49" s="4">
        <v>6.4999999999999997E-3</v>
      </c>
      <c r="O49" s="29"/>
      <c r="P49" s="29"/>
      <c r="Q49" s="29"/>
      <c r="R49" s="29"/>
      <c r="S49" s="44">
        <f>+MAX(O49:R49)</f>
        <v>0</v>
      </c>
      <c r="T49" s="42" t="s">
        <v>248</v>
      </c>
      <c r="U49" s="17">
        <f t="shared" si="5"/>
        <v>0</v>
      </c>
      <c r="V49" s="13">
        <f t="shared" si="4"/>
        <v>0</v>
      </c>
      <c r="W49" s="58"/>
      <c r="X49" s="58"/>
      <c r="Y49" s="58"/>
      <c r="Z49" s="58"/>
    </row>
    <row r="50" spans="1:26" s="6" customFormat="1" ht="94.5" customHeight="1" x14ac:dyDescent="0.2">
      <c r="A50" s="70">
        <v>41</v>
      </c>
      <c r="B50" s="11" t="s">
        <v>254</v>
      </c>
      <c r="C50" s="12" t="s">
        <v>30</v>
      </c>
      <c r="D50" s="20" t="s">
        <v>265</v>
      </c>
      <c r="E50" s="22" t="s">
        <v>37</v>
      </c>
      <c r="F50" s="14" t="s">
        <v>44</v>
      </c>
      <c r="G50" s="5" t="s">
        <v>127</v>
      </c>
      <c r="H50" s="5" t="s">
        <v>128</v>
      </c>
      <c r="I50" s="5" t="s">
        <v>255</v>
      </c>
      <c r="J50" s="5" t="s">
        <v>217</v>
      </c>
      <c r="K50" s="5" t="s">
        <v>27</v>
      </c>
      <c r="L50" s="5" t="s">
        <v>245</v>
      </c>
      <c r="M50" s="68">
        <v>1</v>
      </c>
      <c r="N50" s="4">
        <v>6.5000000000000006E-3</v>
      </c>
      <c r="O50" s="28"/>
      <c r="P50" s="28"/>
      <c r="Q50" s="28"/>
      <c r="R50" s="28"/>
      <c r="S50" s="43">
        <f>SUM(O50:R50)</f>
        <v>0</v>
      </c>
      <c r="T50" s="42" t="s">
        <v>250</v>
      </c>
      <c r="U50" s="17">
        <f t="shared" si="5"/>
        <v>0</v>
      </c>
      <c r="V50" s="13">
        <f t="shared" si="4"/>
        <v>0</v>
      </c>
      <c r="W50" s="58"/>
      <c r="X50" s="58"/>
      <c r="Y50" s="58"/>
      <c r="Z50" s="58"/>
    </row>
    <row r="51" spans="1:26" s="6" customFormat="1" ht="94.5" customHeight="1" x14ac:dyDescent="0.2">
      <c r="A51" s="70">
        <v>42</v>
      </c>
      <c r="B51" s="70" t="s">
        <v>254</v>
      </c>
      <c r="C51" s="71" t="s">
        <v>30</v>
      </c>
      <c r="D51" s="72" t="s">
        <v>265</v>
      </c>
      <c r="E51" s="73" t="s">
        <v>37</v>
      </c>
      <c r="F51" s="74" t="s">
        <v>44</v>
      </c>
      <c r="G51" s="75" t="s">
        <v>328</v>
      </c>
      <c r="H51" s="75" t="s">
        <v>323</v>
      </c>
      <c r="I51" s="75" t="s">
        <v>256</v>
      </c>
      <c r="J51" s="75" t="s">
        <v>218</v>
      </c>
      <c r="K51" s="75" t="s">
        <v>27</v>
      </c>
      <c r="L51" s="75" t="s">
        <v>246</v>
      </c>
      <c r="M51" s="95">
        <v>0.11</v>
      </c>
      <c r="N51" s="4">
        <v>1.2999999999999999E-2</v>
      </c>
      <c r="O51" s="29"/>
      <c r="P51" s="29"/>
      <c r="Q51" s="29"/>
      <c r="R51" s="63"/>
      <c r="S51" s="44">
        <f t="shared" ref="S51" si="6">+R51</f>
        <v>0</v>
      </c>
      <c r="T51" s="42" t="s">
        <v>251</v>
      </c>
      <c r="U51" s="17">
        <f t="shared" si="5"/>
        <v>0</v>
      </c>
      <c r="V51" s="13">
        <f t="shared" si="4"/>
        <v>0</v>
      </c>
      <c r="W51" s="58"/>
      <c r="X51" s="58"/>
      <c r="Y51" s="58"/>
      <c r="Z51" s="58"/>
    </row>
    <row r="52" spans="1:26" s="6" customFormat="1" ht="94.5" customHeight="1" x14ac:dyDescent="0.2">
      <c r="A52" s="70">
        <v>43</v>
      </c>
      <c r="B52" s="11" t="s">
        <v>285</v>
      </c>
      <c r="C52" s="12" t="s">
        <v>30</v>
      </c>
      <c r="D52" s="20" t="s">
        <v>265</v>
      </c>
      <c r="E52" s="22" t="s">
        <v>37</v>
      </c>
      <c r="F52" s="14" t="s">
        <v>44</v>
      </c>
      <c r="G52" s="5" t="s">
        <v>326</v>
      </c>
      <c r="H52" s="5" t="s">
        <v>312</v>
      </c>
      <c r="I52" s="5" t="s">
        <v>255</v>
      </c>
      <c r="J52" s="5" t="s">
        <v>318</v>
      </c>
      <c r="K52" s="5" t="s">
        <v>27</v>
      </c>
      <c r="L52" s="5" t="s">
        <v>245</v>
      </c>
      <c r="M52" s="86">
        <v>27910000000</v>
      </c>
      <c r="N52" s="4">
        <v>2.856E-3</v>
      </c>
      <c r="O52" s="33"/>
      <c r="P52" s="33"/>
      <c r="Q52" s="33"/>
      <c r="R52" s="33"/>
      <c r="S52" s="48">
        <f t="shared" ref="S52:S56" si="7">SUM(O52:R52)</f>
        <v>0</v>
      </c>
      <c r="T52" s="42" t="s">
        <v>250</v>
      </c>
      <c r="U52" s="17">
        <f t="shared" ref="U52:U56" si="8">+S52/M52</f>
        <v>0</v>
      </c>
      <c r="V52" s="13">
        <f t="shared" ref="V52:V56" si="9">+IF(U52&lt;=100%,U52*N52,N52)</f>
        <v>0</v>
      </c>
      <c r="W52" s="58"/>
      <c r="X52" s="58"/>
      <c r="Y52" s="58"/>
      <c r="Z52" s="58"/>
    </row>
    <row r="53" spans="1:26" s="6" customFormat="1" ht="94.5" customHeight="1" x14ac:dyDescent="0.2">
      <c r="A53" s="70">
        <v>44</v>
      </c>
      <c r="B53" s="11" t="s">
        <v>285</v>
      </c>
      <c r="C53" s="12" t="s">
        <v>30</v>
      </c>
      <c r="D53" s="20" t="s">
        <v>265</v>
      </c>
      <c r="E53" s="22" t="s">
        <v>37</v>
      </c>
      <c r="F53" s="14" t="s">
        <v>44</v>
      </c>
      <c r="G53" s="5" t="s">
        <v>311</v>
      </c>
      <c r="H53" s="5" t="s">
        <v>313</v>
      </c>
      <c r="I53" s="5" t="s">
        <v>255</v>
      </c>
      <c r="J53" s="5" t="s">
        <v>319</v>
      </c>
      <c r="K53" s="5" t="s">
        <v>27</v>
      </c>
      <c r="L53" s="5" t="s">
        <v>245</v>
      </c>
      <c r="M53" s="86">
        <v>550000000</v>
      </c>
      <c r="N53" s="4">
        <v>3.0000000000000001E-3</v>
      </c>
      <c r="O53" s="33"/>
      <c r="P53" s="33"/>
      <c r="Q53" s="33"/>
      <c r="R53" s="33"/>
      <c r="S53" s="48">
        <f t="shared" si="7"/>
        <v>0</v>
      </c>
      <c r="T53" s="42" t="s">
        <v>250</v>
      </c>
      <c r="U53" s="17">
        <f t="shared" si="8"/>
        <v>0</v>
      </c>
      <c r="V53" s="13">
        <f t="shared" si="9"/>
        <v>0</v>
      </c>
      <c r="W53" s="58"/>
      <c r="X53" s="58"/>
      <c r="Y53" s="58"/>
      <c r="Z53" s="58"/>
    </row>
    <row r="54" spans="1:26" s="6" customFormat="1" ht="94.5" customHeight="1" x14ac:dyDescent="0.2">
      <c r="A54" s="70">
        <v>45</v>
      </c>
      <c r="B54" s="11" t="s">
        <v>285</v>
      </c>
      <c r="C54" s="12" t="s">
        <v>30</v>
      </c>
      <c r="D54" s="20" t="s">
        <v>265</v>
      </c>
      <c r="E54" s="22" t="s">
        <v>37</v>
      </c>
      <c r="F54" s="14" t="s">
        <v>44</v>
      </c>
      <c r="G54" s="5" t="s">
        <v>325</v>
      </c>
      <c r="H54" s="5" t="s">
        <v>314</v>
      </c>
      <c r="I54" s="5" t="s">
        <v>255</v>
      </c>
      <c r="J54" s="5" t="s">
        <v>327</v>
      </c>
      <c r="K54" s="5" t="s">
        <v>27</v>
      </c>
      <c r="L54" s="5" t="s">
        <v>245</v>
      </c>
      <c r="M54" s="86">
        <v>1000000000</v>
      </c>
      <c r="N54" s="4">
        <v>3.0000000000000001E-3</v>
      </c>
      <c r="O54" s="33"/>
      <c r="P54" s="33"/>
      <c r="Q54" s="33"/>
      <c r="R54" s="33"/>
      <c r="S54" s="48">
        <f t="shared" si="7"/>
        <v>0</v>
      </c>
      <c r="T54" s="42" t="s">
        <v>250</v>
      </c>
      <c r="U54" s="17">
        <f t="shared" si="8"/>
        <v>0</v>
      </c>
      <c r="V54" s="13">
        <f t="shared" si="9"/>
        <v>0</v>
      </c>
      <c r="W54" s="58"/>
      <c r="X54" s="58"/>
      <c r="Y54" s="58"/>
      <c r="Z54" s="58"/>
    </row>
    <row r="55" spans="1:26" s="6" customFormat="1" ht="94.5" customHeight="1" x14ac:dyDescent="0.2">
      <c r="A55" s="70">
        <v>46</v>
      </c>
      <c r="B55" s="11" t="s">
        <v>285</v>
      </c>
      <c r="C55" s="12" t="s">
        <v>30</v>
      </c>
      <c r="D55" s="20" t="s">
        <v>265</v>
      </c>
      <c r="E55" s="22" t="s">
        <v>37</v>
      </c>
      <c r="F55" s="14" t="s">
        <v>44</v>
      </c>
      <c r="G55" s="5" t="s">
        <v>315</v>
      </c>
      <c r="H55" s="5" t="s">
        <v>316</v>
      </c>
      <c r="I55" s="5" t="s">
        <v>255</v>
      </c>
      <c r="J55" s="5" t="s">
        <v>320</v>
      </c>
      <c r="K55" s="5" t="s">
        <v>27</v>
      </c>
      <c r="L55" s="5" t="s">
        <v>245</v>
      </c>
      <c r="M55" s="86">
        <v>9800000000</v>
      </c>
      <c r="N55" s="4">
        <v>2.856E-3</v>
      </c>
      <c r="O55" s="33"/>
      <c r="P55" s="33"/>
      <c r="Q55" s="33"/>
      <c r="R55" s="33"/>
      <c r="S55" s="48">
        <f t="shared" si="7"/>
        <v>0</v>
      </c>
      <c r="T55" s="42" t="s">
        <v>250</v>
      </c>
      <c r="U55" s="17">
        <f t="shared" si="8"/>
        <v>0</v>
      </c>
      <c r="V55" s="13">
        <f t="shared" si="9"/>
        <v>0</v>
      </c>
      <c r="W55" s="58"/>
      <c r="X55" s="58"/>
      <c r="Y55" s="58"/>
      <c r="Z55" s="58"/>
    </row>
    <row r="56" spans="1:26" s="6" customFormat="1" ht="94.5" customHeight="1" x14ac:dyDescent="0.2">
      <c r="A56" s="70">
        <v>47</v>
      </c>
      <c r="B56" s="11" t="s">
        <v>285</v>
      </c>
      <c r="C56" s="12" t="s">
        <v>30</v>
      </c>
      <c r="D56" s="20" t="s">
        <v>265</v>
      </c>
      <c r="E56" s="22" t="s">
        <v>37</v>
      </c>
      <c r="F56" s="14" t="s">
        <v>44</v>
      </c>
      <c r="G56" s="5" t="s">
        <v>321</v>
      </c>
      <c r="H56" s="5" t="s">
        <v>317</v>
      </c>
      <c r="I56" s="5" t="s">
        <v>255</v>
      </c>
      <c r="J56" s="5" t="s">
        <v>322</v>
      </c>
      <c r="K56" s="5" t="s">
        <v>27</v>
      </c>
      <c r="L56" s="5" t="s">
        <v>245</v>
      </c>
      <c r="M56" s="86">
        <v>1100000000</v>
      </c>
      <c r="N56" s="4">
        <v>2.856E-3</v>
      </c>
      <c r="O56" s="33"/>
      <c r="P56" s="33"/>
      <c r="Q56" s="33"/>
      <c r="R56" s="33"/>
      <c r="S56" s="48">
        <f t="shared" si="7"/>
        <v>0</v>
      </c>
      <c r="T56" s="42" t="s">
        <v>250</v>
      </c>
      <c r="U56" s="17">
        <f t="shared" si="8"/>
        <v>0</v>
      </c>
      <c r="V56" s="13">
        <f t="shared" si="9"/>
        <v>0</v>
      </c>
      <c r="W56" s="58"/>
      <c r="X56" s="58"/>
      <c r="Y56" s="58"/>
      <c r="Z56" s="58"/>
    </row>
    <row r="57" spans="1:26" s="6" customFormat="1" ht="94.5" customHeight="1" x14ac:dyDescent="0.2">
      <c r="A57" s="70">
        <v>48</v>
      </c>
      <c r="B57" s="11" t="s">
        <v>286</v>
      </c>
      <c r="C57" s="12" t="s">
        <v>30</v>
      </c>
      <c r="D57" s="20" t="s">
        <v>264</v>
      </c>
      <c r="E57" s="22" t="s">
        <v>37</v>
      </c>
      <c r="F57" s="14" t="s">
        <v>44</v>
      </c>
      <c r="G57" s="5" t="s">
        <v>129</v>
      </c>
      <c r="H57" s="5" t="s">
        <v>130</v>
      </c>
      <c r="I57" s="5" t="s">
        <v>256</v>
      </c>
      <c r="J57" s="5" t="s">
        <v>219</v>
      </c>
      <c r="K57" s="5" t="s">
        <v>27</v>
      </c>
      <c r="L57" s="5" t="s">
        <v>245</v>
      </c>
      <c r="M57" s="95">
        <v>0.85</v>
      </c>
      <c r="N57" s="4">
        <v>1.3125000000000003E-2</v>
      </c>
      <c r="O57" s="29"/>
      <c r="P57" s="29"/>
      <c r="Q57" s="29"/>
      <c r="R57" s="35"/>
      <c r="S57" s="44">
        <f>+MAX(O57:R57)</f>
        <v>0</v>
      </c>
      <c r="T57" s="42" t="s">
        <v>248</v>
      </c>
      <c r="U57" s="17">
        <f t="shared" si="5"/>
        <v>0</v>
      </c>
      <c r="V57" s="13">
        <f t="shared" si="4"/>
        <v>0</v>
      </c>
      <c r="W57" s="58"/>
      <c r="X57" s="58"/>
      <c r="Y57" s="58"/>
      <c r="Z57" s="58"/>
    </row>
    <row r="58" spans="1:26" s="6" customFormat="1" ht="94.5" customHeight="1" x14ac:dyDescent="0.2">
      <c r="A58" s="70">
        <v>49</v>
      </c>
      <c r="B58" s="11" t="s">
        <v>286</v>
      </c>
      <c r="C58" s="12" t="s">
        <v>30</v>
      </c>
      <c r="D58" s="20" t="s">
        <v>264</v>
      </c>
      <c r="E58" s="22" t="s">
        <v>37</v>
      </c>
      <c r="F58" s="14" t="s">
        <v>44</v>
      </c>
      <c r="G58" s="5" t="s">
        <v>131</v>
      </c>
      <c r="H58" s="5" t="s">
        <v>132</v>
      </c>
      <c r="I58" s="5" t="s">
        <v>257</v>
      </c>
      <c r="J58" s="5" t="s">
        <v>220</v>
      </c>
      <c r="K58" s="5" t="s">
        <v>27</v>
      </c>
      <c r="L58" s="5" t="s">
        <v>245</v>
      </c>
      <c r="M58" s="68">
        <v>1</v>
      </c>
      <c r="N58" s="4">
        <v>3.3250000000000003E-3</v>
      </c>
      <c r="O58" s="28"/>
      <c r="P58" s="28"/>
      <c r="Q58" s="28"/>
      <c r="R58" s="28"/>
      <c r="S58" s="46">
        <f>SUM(O58:R58)</f>
        <v>0</v>
      </c>
      <c r="T58" s="42" t="s">
        <v>250</v>
      </c>
      <c r="U58" s="17">
        <f t="shared" si="5"/>
        <v>0</v>
      </c>
      <c r="V58" s="13">
        <f t="shared" si="4"/>
        <v>0</v>
      </c>
      <c r="W58" s="58"/>
      <c r="X58" s="58"/>
      <c r="Y58" s="58"/>
      <c r="Z58" s="58"/>
    </row>
    <row r="59" spans="1:26" s="6" customFormat="1" ht="94.5" customHeight="1" x14ac:dyDescent="0.2">
      <c r="A59" s="70">
        <v>50</v>
      </c>
      <c r="B59" s="11" t="s">
        <v>286</v>
      </c>
      <c r="C59" s="12" t="s">
        <v>30</v>
      </c>
      <c r="D59" s="20" t="s">
        <v>264</v>
      </c>
      <c r="E59" s="22" t="s">
        <v>37</v>
      </c>
      <c r="F59" s="14" t="s">
        <v>45</v>
      </c>
      <c r="G59" s="5" t="s">
        <v>133</v>
      </c>
      <c r="H59" s="5" t="s">
        <v>134</v>
      </c>
      <c r="I59" s="5" t="s">
        <v>256</v>
      </c>
      <c r="J59" s="5" t="s">
        <v>221</v>
      </c>
      <c r="K59" s="5" t="s">
        <v>27</v>
      </c>
      <c r="L59" s="5" t="s">
        <v>246</v>
      </c>
      <c r="M59" s="26">
        <v>1</v>
      </c>
      <c r="N59" s="4">
        <v>7.0000000000000001E-3</v>
      </c>
      <c r="O59" s="34"/>
      <c r="P59" s="34"/>
      <c r="Q59" s="34"/>
      <c r="R59" s="34"/>
      <c r="S59" s="44">
        <f>+MAX(O59:R59)</f>
        <v>0</v>
      </c>
      <c r="T59" s="42" t="s">
        <v>249</v>
      </c>
      <c r="U59" s="17">
        <f t="shared" si="5"/>
        <v>0</v>
      </c>
      <c r="V59" s="13">
        <f t="shared" si="4"/>
        <v>0</v>
      </c>
      <c r="W59" s="58"/>
      <c r="X59" s="58"/>
      <c r="Y59" s="58"/>
      <c r="Z59" s="58"/>
    </row>
    <row r="60" spans="1:26" s="6" customFormat="1" ht="94.5" customHeight="1" x14ac:dyDescent="0.2">
      <c r="A60" s="70">
        <v>51</v>
      </c>
      <c r="B60" s="11" t="s">
        <v>286</v>
      </c>
      <c r="C60" s="12" t="s">
        <v>30</v>
      </c>
      <c r="D60" s="20" t="s">
        <v>264</v>
      </c>
      <c r="E60" s="22" t="s">
        <v>37</v>
      </c>
      <c r="F60" s="14" t="s">
        <v>45</v>
      </c>
      <c r="G60" s="5" t="s">
        <v>135</v>
      </c>
      <c r="H60" s="5" t="s">
        <v>136</v>
      </c>
      <c r="I60" s="5" t="s">
        <v>255</v>
      </c>
      <c r="J60" s="5" t="s">
        <v>222</v>
      </c>
      <c r="K60" s="5" t="s">
        <v>27</v>
      </c>
      <c r="L60" s="5" t="s">
        <v>246</v>
      </c>
      <c r="M60" s="26">
        <v>1</v>
      </c>
      <c r="N60" s="4">
        <v>5.8333333333333336E-3</v>
      </c>
      <c r="O60" s="34"/>
      <c r="P60" s="34"/>
      <c r="Q60" s="34"/>
      <c r="R60" s="34"/>
      <c r="S60" s="44">
        <f>+MAX(O60:R60)</f>
        <v>0</v>
      </c>
      <c r="T60" s="42" t="s">
        <v>249</v>
      </c>
      <c r="U60" s="17">
        <f t="shared" si="5"/>
        <v>0</v>
      </c>
      <c r="V60" s="13">
        <f t="shared" si="4"/>
        <v>0</v>
      </c>
      <c r="W60" s="58"/>
      <c r="X60" s="58"/>
      <c r="Y60" s="58"/>
      <c r="Z60" s="58"/>
    </row>
    <row r="61" spans="1:26" s="6" customFormat="1" ht="94.5" customHeight="1" x14ac:dyDescent="0.2">
      <c r="A61" s="70">
        <v>52</v>
      </c>
      <c r="B61" s="11" t="s">
        <v>286</v>
      </c>
      <c r="C61" s="12" t="s">
        <v>30</v>
      </c>
      <c r="D61" s="20" t="s">
        <v>264</v>
      </c>
      <c r="E61" s="22" t="s">
        <v>37</v>
      </c>
      <c r="F61" s="14" t="s">
        <v>45</v>
      </c>
      <c r="G61" s="5" t="s">
        <v>137</v>
      </c>
      <c r="H61" s="5" t="s">
        <v>138</v>
      </c>
      <c r="I61" s="5" t="s">
        <v>255</v>
      </c>
      <c r="J61" s="5" t="s">
        <v>223</v>
      </c>
      <c r="K61" s="5" t="s">
        <v>27</v>
      </c>
      <c r="L61" s="5" t="s">
        <v>246</v>
      </c>
      <c r="M61" s="26">
        <v>1</v>
      </c>
      <c r="N61" s="4">
        <v>5.8333333333333336E-3</v>
      </c>
      <c r="O61" s="34"/>
      <c r="P61" s="34"/>
      <c r="Q61" s="34"/>
      <c r="R61" s="34"/>
      <c r="S61" s="44">
        <f>+MAX(O61:R61)</f>
        <v>0</v>
      </c>
      <c r="T61" s="42" t="s">
        <v>249</v>
      </c>
      <c r="U61" s="17">
        <f t="shared" si="5"/>
        <v>0</v>
      </c>
      <c r="V61" s="13">
        <f t="shared" si="4"/>
        <v>0</v>
      </c>
      <c r="W61" s="58"/>
      <c r="X61" s="58"/>
      <c r="Y61" s="58"/>
      <c r="Z61" s="58"/>
    </row>
    <row r="62" spans="1:26" s="6" customFormat="1" ht="94.5" customHeight="1" x14ac:dyDescent="0.2">
      <c r="A62" s="70">
        <v>53</v>
      </c>
      <c r="B62" s="11" t="s">
        <v>286</v>
      </c>
      <c r="C62" s="12" t="s">
        <v>30</v>
      </c>
      <c r="D62" s="20" t="s">
        <v>264</v>
      </c>
      <c r="E62" s="22" t="s">
        <v>37</v>
      </c>
      <c r="F62" s="14" t="s">
        <v>45</v>
      </c>
      <c r="G62" s="5" t="s">
        <v>131</v>
      </c>
      <c r="H62" s="5" t="s">
        <v>139</v>
      </c>
      <c r="I62" s="5" t="s">
        <v>256</v>
      </c>
      <c r="J62" s="5" t="s">
        <v>224</v>
      </c>
      <c r="K62" s="5" t="s">
        <v>27</v>
      </c>
      <c r="L62" s="5" t="s">
        <v>246</v>
      </c>
      <c r="M62" s="26">
        <v>1</v>
      </c>
      <c r="N62" s="4">
        <v>3.5000000000000001E-3</v>
      </c>
      <c r="O62" s="34"/>
      <c r="P62" s="34"/>
      <c r="Q62" s="34"/>
      <c r="R62" s="34"/>
      <c r="S62" s="44">
        <f>+MAX(O62:R62)</f>
        <v>0</v>
      </c>
      <c r="T62" s="42" t="s">
        <v>249</v>
      </c>
      <c r="U62" s="17">
        <f t="shared" si="5"/>
        <v>0</v>
      </c>
      <c r="V62" s="13">
        <f t="shared" si="4"/>
        <v>0</v>
      </c>
      <c r="W62" s="58"/>
      <c r="X62" s="58"/>
      <c r="Y62" s="58"/>
      <c r="Z62" s="58"/>
    </row>
    <row r="63" spans="1:26" s="6" customFormat="1" ht="94.5" customHeight="1" x14ac:dyDescent="0.2">
      <c r="A63" s="70">
        <v>54</v>
      </c>
      <c r="B63" s="11" t="s">
        <v>286</v>
      </c>
      <c r="C63" s="12" t="s">
        <v>30</v>
      </c>
      <c r="D63" s="20" t="s">
        <v>264</v>
      </c>
      <c r="E63" s="22" t="s">
        <v>37</v>
      </c>
      <c r="F63" s="14" t="s">
        <v>45</v>
      </c>
      <c r="G63" s="5" t="s">
        <v>140</v>
      </c>
      <c r="H63" s="5" t="s">
        <v>282</v>
      </c>
      <c r="I63" s="5" t="s">
        <v>256</v>
      </c>
      <c r="J63" s="5" t="s">
        <v>281</v>
      </c>
      <c r="K63" s="5" t="s">
        <v>27</v>
      </c>
      <c r="L63" s="5" t="s">
        <v>245</v>
      </c>
      <c r="M63" s="24">
        <v>3</v>
      </c>
      <c r="N63" s="4">
        <v>3.5000000000000005E-3</v>
      </c>
      <c r="O63" s="28"/>
      <c r="P63" s="28"/>
      <c r="Q63" s="28"/>
      <c r="R63" s="28"/>
      <c r="S63" s="46">
        <f>SUM(O63:R63)</f>
        <v>0</v>
      </c>
      <c r="T63" s="42" t="s">
        <v>250</v>
      </c>
      <c r="U63" s="17">
        <f t="shared" si="5"/>
        <v>0</v>
      </c>
      <c r="V63" s="13">
        <f t="shared" si="4"/>
        <v>0</v>
      </c>
      <c r="W63" s="58"/>
      <c r="X63" s="58"/>
      <c r="Y63" s="58"/>
      <c r="Z63" s="58"/>
    </row>
    <row r="64" spans="1:26" s="6" customFormat="1" ht="94.5" customHeight="1" x14ac:dyDescent="0.2">
      <c r="A64" s="70">
        <v>55</v>
      </c>
      <c r="B64" s="11" t="s">
        <v>286</v>
      </c>
      <c r="C64" s="12" t="s">
        <v>30</v>
      </c>
      <c r="D64" s="20" t="s">
        <v>264</v>
      </c>
      <c r="E64" s="22" t="s">
        <v>37</v>
      </c>
      <c r="F64" s="14" t="s">
        <v>45</v>
      </c>
      <c r="G64" s="5" t="s">
        <v>355</v>
      </c>
      <c r="H64" s="5" t="s">
        <v>356</v>
      </c>
      <c r="I64" s="5" t="s">
        <v>256</v>
      </c>
      <c r="J64" s="5" t="s">
        <v>345</v>
      </c>
      <c r="K64" s="5" t="s">
        <v>27</v>
      </c>
      <c r="L64" s="5" t="s">
        <v>245</v>
      </c>
      <c r="M64" s="24">
        <v>2</v>
      </c>
      <c r="N64" s="4">
        <v>3.5000000000000005E-3</v>
      </c>
      <c r="O64" s="28"/>
      <c r="P64" s="28"/>
      <c r="Q64" s="28"/>
      <c r="R64" s="28"/>
      <c r="S64" s="46">
        <f>SUM(O64:R64)</f>
        <v>0</v>
      </c>
      <c r="T64" s="42" t="s">
        <v>250</v>
      </c>
      <c r="U64" s="17">
        <f t="shared" si="5"/>
        <v>0</v>
      </c>
      <c r="V64" s="13">
        <f t="shared" si="4"/>
        <v>0</v>
      </c>
      <c r="W64" s="58"/>
      <c r="X64" s="58"/>
      <c r="Y64" s="58"/>
      <c r="Z64" s="58"/>
    </row>
    <row r="65" spans="1:26" s="6" customFormat="1" ht="94.5" customHeight="1" x14ac:dyDescent="0.2">
      <c r="A65" s="70">
        <v>56</v>
      </c>
      <c r="B65" s="11" t="s">
        <v>286</v>
      </c>
      <c r="C65" s="12" t="s">
        <v>30</v>
      </c>
      <c r="D65" s="20" t="s">
        <v>264</v>
      </c>
      <c r="E65" s="22" t="s">
        <v>37</v>
      </c>
      <c r="F65" s="14" t="s">
        <v>42</v>
      </c>
      <c r="G65" s="5" t="s">
        <v>133</v>
      </c>
      <c r="H65" s="5" t="s">
        <v>134</v>
      </c>
      <c r="I65" s="5" t="s">
        <v>256</v>
      </c>
      <c r="J65" s="5" t="s">
        <v>221</v>
      </c>
      <c r="K65" s="5" t="s">
        <v>27</v>
      </c>
      <c r="L65" s="5" t="s">
        <v>246</v>
      </c>
      <c r="M65" s="26">
        <v>1</v>
      </c>
      <c r="N65" s="4">
        <v>5.9500000000000013E-3</v>
      </c>
      <c r="O65" s="34"/>
      <c r="P65" s="34"/>
      <c r="Q65" s="34"/>
      <c r="R65" s="34"/>
      <c r="S65" s="44">
        <f>+MAX(O65:R65)</f>
        <v>0</v>
      </c>
      <c r="T65" s="42" t="s">
        <v>249</v>
      </c>
      <c r="U65" s="17">
        <f t="shared" si="5"/>
        <v>0</v>
      </c>
      <c r="V65" s="13">
        <f t="shared" si="4"/>
        <v>0</v>
      </c>
      <c r="W65" s="58"/>
      <c r="X65" s="58"/>
      <c r="Y65" s="58"/>
      <c r="Z65" s="58"/>
    </row>
    <row r="66" spans="1:26" s="6" customFormat="1" ht="94.5" customHeight="1" x14ac:dyDescent="0.2">
      <c r="A66" s="70">
        <v>57</v>
      </c>
      <c r="B66" s="11" t="s">
        <v>286</v>
      </c>
      <c r="C66" s="12" t="s">
        <v>30</v>
      </c>
      <c r="D66" s="20" t="s">
        <v>264</v>
      </c>
      <c r="E66" s="22" t="s">
        <v>37</v>
      </c>
      <c r="F66" s="14" t="s">
        <v>42</v>
      </c>
      <c r="G66" s="5" t="s">
        <v>142</v>
      </c>
      <c r="H66" s="5" t="s">
        <v>143</v>
      </c>
      <c r="I66" s="5" t="s">
        <v>256</v>
      </c>
      <c r="J66" s="5" t="s">
        <v>221</v>
      </c>
      <c r="K66" s="5" t="s">
        <v>27</v>
      </c>
      <c r="L66" s="5" t="s">
        <v>246</v>
      </c>
      <c r="M66" s="26">
        <v>1</v>
      </c>
      <c r="N66" s="4">
        <v>7.6899999999999998E-3</v>
      </c>
      <c r="O66" s="34"/>
      <c r="P66" s="34"/>
      <c r="Q66" s="34"/>
      <c r="R66" s="34"/>
      <c r="S66" s="44">
        <f>+MAX(O66:R66)</f>
        <v>0</v>
      </c>
      <c r="T66" s="42" t="s">
        <v>249</v>
      </c>
      <c r="U66" s="17">
        <f t="shared" si="5"/>
        <v>0</v>
      </c>
      <c r="V66" s="13">
        <f t="shared" si="4"/>
        <v>0</v>
      </c>
      <c r="W66" s="58"/>
      <c r="X66" s="58"/>
      <c r="Y66" s="58"/>
      <c r="Z66" s="58"/>
    </row>
    <row r="67" spans="1:26" s="6" customFormat="1" ht="94.5" customHeight="1" x14ac:dyDescent="0.2">
      <c r="A67" s="70">
        <v>58</v>
      </c>
      <c r="B67" s="11" t="s">
        <v>286</v>
      </c>
      <c r="C67" s="12" t="s">
        <v>30</v>
      </c>
      <c r="D67" s="20" t="s">
        <v>260</v>
      </c>
      <c r="E67" s="22" t="s">
        <v>37</v>
      </c>
      <c r="F67" s="14" t="s">
        <v>42</v>
      </c>
      <c r="G67" s="5" t="s">
        <v>144</v>
      </c>
      <c r="H67" s="5" t="s">
        <v>145</v>
      </c>
      <c r="I67" s="5" t="s">
        <v>256</v>
      </c>
      <c r="J67" s="5" t="s">
        <v>225</v>
      </c>
      <c r="K67" s="5" t="s">
        <v>27</v>
      </c>
      <c r="L67" s="5" t="s">
        <v>245</v>
      </c>
      <c r="M67" s="24">
        <v>12</v>
      </c>
      <c r="N67" s="4">
        <v>7.6E-3</v>
      </c>
      <c r="O67" s="28"/>
      <c r="P67" s="28"/>
      <c r="Q67" s="28"/>
      <c r="R67" s="28"/>
      <c r="S67" s="46">
        <f>SUM(O67:R67)</f>
        <v>0</v>
      </c>
      <c r="T67" s="42" t="s">
        <v>250</v>
      </c>
      <c r="U67" s="17">
        <f t="shared" si="5"/>
        <v>0</v>
      </c>
      <c r="V67" s="13">
        <f t="shared" si="4"/>
        <v>0</v>
      </c>
      <c r="W67" s="58"/>
      <c r="X67" s="58"/>
      <c r="Y67" s="58"/>
      <c r="Z67" s="58"/>
    </row>
    <row r="68" spans="1:26" s="6" customFormat="1" ht="94.5" customHeight="1" x14ac:dyDescent="0.2">
      <c r="A68" s="70">
        <v>59</v>
      </c>
      <c r="B68" s="11" t="s">
        <v>286</v>
      </c>
      <c r="C68" s="12" t="s">
        <v>30</v>
      </c>
      <c r="D68" s="20" t="s">
        <v>264</v>
      </c>
      <c r="E68" s="22" t="s">
        <v>37</v>
      </c>
      <c r="F68" s="14" t="s">
        <v>42</v>
      </c>
      <c r="G68" s="5" t="s">
        <v>129</v>
      </c>
      <c r="H68" s="5" t="s">
        <v>130</v>
      </c>
      <c r="I68" s="5" t="s">
        <v>256</v>
      </c>
      <c r="J68" s="5" t="s">
        <v>219</v>
      </c>
      <c r="K68" s="5" t="s">
        <v>27</v>
      </c>
      <c r="L68" s="5" t="s">
        <v>245</v>
      </c>
      <c r="M68" s="27">
        <v>0.85</v>
      </c>
      <c r="N68" s="4">
        <v>6.1999999999999998E-3</v>
      </c>
      <c r="O68" s="29"/>
      <c r="P68" s="29"/>
      <c r="Q68" s="29"/>
      <c r="R68" s="29"/>
      <c r="S68" s="44">
        <f>+MAX(O68:R68)</f>
        <v>0</v>
      </c>
      <c r="T68" s="42" t="s">
        <v>248</v>
      </c>
      <c r="U68" s="17">
        <f t="shared" si="5"/>
        <v>0</v>
      </c>
      <c r="V68" s="13">
        <f t="shared" si="4"/>
        <v>0</v>
      </c>
      <c r="W68" s="58"/>
      <c r="X68" s="58"/>
      <c r="Y68" s="58"/>
      <c r="Z68" s="58"/>
    </row>
    <row r="69" spans="1:26" s="6" customFormat="1" ht="94.5" customHeight="1" x14ac:dyDescent="0.2">
      <c r="A69" s="70">
        <v>60</v>
      </c>
      <c r="B69" s="11" t="s">
        <v>286</v>
      </c>
      <c r="C69" s="12" t="s">
        <v>30</v>
      </c>
      <c r="D69" s="20" t="s">
        <v>260</v>
      </c>
      <c r="E69" s="22" t="s">
        <v>37</v>
      </c>
      <c r="F69" s="14" t="s">
        <v>42</v>
      </c>
      <c r="G69" s="5" t="s">
        <v>146</v>
      </c>
      <c r="H69" s="5" t="s">
        <v>147</v>
      </c>
      <c r="I69" s="5" t="s">
        <v>256</v>
      </c>
      <c r="J69" s="5" t="s">
        <v>226</v>
      </c>
      <c r="K69" s="5" t="s">
        <v>27</v>
      </c>
      <c r="L69" s="5" t="s">
        <v>245</v>
      </c>
      <c r="M69" s="24">
        <v>12</v>
      </c>
      <c r="N69" s="4">
        <v>7.8750000000000001E-3</v>
      </c>
      <c r="O69" s="28"/>
      <c r="P69" s="28"/>
      <c r="Q69" s="28"/>
      <c r="R69" s="28"/>
      <c r="S69" s="46">
        <f>SUM(O69:R69)</f>
        <v>0</v>
      </c>
      <c r="T69" s="42" t="s">
        <v>250</v>
      </c>
      <c r="U69" s="17">
        <f t="shared" si="5"/>
        <v>0</v>
      </c>
      <c r="V69" s="13">
        <f t="shared" si="4"/>
        <v>0</v>
      </c>
      <c r="W69" s="58"/>
      <c r="X69" s="58"/>
      <c r="Y69" s="58"/>
      <c r="Z69" s="58"/>
    </row>
    <row r="70" spans="1:26" s="6" customFormat="1" ht="94.5" customHeight="1" x14ac:dyDescent="0.2">
      <c r="A70" s="70">
        <v>61</v>
      </c>
      <c r="B70" s="11" t="s">
        <v>286</v>
      </c>
      <c r="C70" s="12" t="s">
        <v>30</v>
      </c>
      <c r="D70" s="20" t="s">
        <v>264</v>
      </c>
      <c r="E70" s="22" t="s">
        <v>37</v>
      </c>
      <c r="F70" s="14" t="s">
        <v>42</v>
      </c>
      <c r="G70" s="5" t="s">
        <v>131</v>
      </c>
      <c r="H70" s="5" t="s">
        <v>132</v>
      </c>
      <c r="I70" s="5" t="s">
        <v>256</v>
      </c>
      <c r="J70" s="5" t="s">
        <v>220</v>
      </c>
      <c r="K70" s="5" t="s">
        <v>27</v>
      </c>
      <c r="L70" s="5" t="s">
        <v>245</v>
      </c>
      <c r="M70" s="24">
        <v>1</v>
      </c>
      <c r="N70" s="4">
        <v>5.3249999999999999E-3</v>
      </c>
      <c r="O70" s="28"/>
      <c r="P70" s="28"/>
      <c r="Q70" s="28"/>
      <c r="R70" s="28"/>
      <c r="S70" s="46">
        <f>SUM(O70:R70)</f>
        <v>0</v>
      </c>
      <c r="T70" s="42" t="s">
        <v>250</v>
      </c>
      <c r="U70" s="17">
        <f t="shared" si="5"/>
        <v>0</v>
      </c>
      <c r="V70" s="13">
        <f t="shared" si="4"/>
        <v>0</v>
      </c>
      <c r="W70" s="58"/>
      <c r="X70" s="58"/>
      <c r="Y70" s="58"/>
      <c r="Z70" s="58"/>
    </row>
    <row r="71" spans="1:26" s="6" customFormat="1" ht="94.5" customHeight="1" x14ac:dyDescent="0.2">
      <c r="A71" s="70">
        <v>62</v>
      </c>
      <c r="B71" s="11" t="s">
        <v>286</v>
      </c>
      <c r="C71" s="12" t="s">
        <v>30</v>
      </c>
      <c r="D71" s="20" t="s">
        <v>264</v>
      </c>
      <c r="E71" s="22" t="s">
        <v>37</v>
      </c>
      <c r="F71" s="14" t="s">
        <v>42</v>
      </c>
      <c r="G71" s="5" t="s">
        <v>148</v>
      </c>
      <c r="H71" s="5" t="s">
        <v>283</v>
      </c>
      <c r="I71" s="5" t="s">
        <v>256</v>
      </c>
      <c r="J71" s="5" t="s">
        <v>346</v>
      </c>
      <c r="K71" s="5" t="s">
        <v>27</v>
      </c>
      <c r="L71" s="5" t="s">
        <v>245</v>
      </c>
      <c r="M71" s="26">
        <v>1</v>
      </c>
      <c r="N71" s="4">
        <v>5.2500000000000012E-3</v>
      </c>
      <c r="O71" s="57">
        <f>+(0/100)*100%</f>
        <v>0</v>
      </c>
      <c r="P71" s="57"/>
      <c r="Q71" s="57"/>
      <c r="R71" s="57"/>
      <c r="S71" s="46">
        <f>SUM(O71:R71)</f>
        <v>0</v>
      </c>
      <c r="T71" s="42" t="s">
        <v>250</v>
      </c>
      <c r="U71" s="17">
        <f t="shared" si="5"/>
        <v>0</v>
      </c>
      <c r="V71" s="13">
        <f t="shared" si="4"/>
        <v>0</v>
      </c>
      <c r="W71" s="58"/>
      <c r="X71" s="58"/>
      <c r="Y71" s="58"/>
      <c r="Z71" s="58"/>
    </row>
    <row r="72" spans="1:26" s="6" customFormat="1" ht="94.5" customHeight="1" x14ac:dyDescent="0.2">
      <c r="A72" s="70">
        <v>63</v>
      </c>
      <c r="B72" s="11" t="s">
        <v>286</v>
      </c>
      <c r="C72" s="12" t="s">
        <v>30</v>
      </c>
      <c r="D72" s="20" t="s">
        <v>264</v>
      </c>
      <c r="E72" s="22" t="s">
        <v>37</v>
      </c>
      <c r="F72" s="14" t="s">
        <v>38</v>
      </c>
      <c r="G72" s="5" t="s">
        <v>129</v>
      </c>
      <c r="H72" s="5" t="s">
        <v>130</v>
      </c>
      <c r="I72" s="5" t="s">
        <v>256</v>
      </c>
      <c r="J72" s="5" t="s">
        <v>219</v>
      </c>
      <c r="K72" s="5" t="s">
        <v>27</v>
      </c>
      <c r="L72" s="5" t="s">
        <v>245</v>
      </c>
      <c r="M72" s="27">
        <v>0.85</v>
      </c>
      <c r="N72" s="4">
        <v>5.2500000000000012E-3</v>
      </c>
      <c r="O72" s="29"/>
      <c r="P72" s="29"/>
      <c r="Q72" s="29"/>
      <c r="R72" s="29"/>
      <c r="S72" s="44">
        <f>+MAX(O72:R72)</f>
        <v>0</v>
      </c>
      <c r="T72" s="42" t="s">
        <v>248</v>
      </c>
      <c r="U72" s="17">
        <f t="shared" si="5"/>
        <v>0</v>
      </c>
      <c r="V72" s="13">
        <f t="shared" si="4"/>
        <v>0</v>
      </c>
      <c r="W72" s="58"/>
      <c r="X72" s="58"/>
      <c r="Y72" s="58"/>
      <c r="Z72" s="58"/>
    </row>
    <row r="73" spans="1:26" s="6" customFormat="1" ht="94.5" customHeight="1" x14ac:dyDescent="0.2">
      <c r="A73" s="70">
        <v>64</v>
      </c>
      <c r="B73" s="11" t="s">
        <v>286</v>
      </c>
      <c r="C73" s="12" t="s">
        <v>30</v>
      </c>
      <c r="D73" s="20" t="s">
        <v>262</v>
      </c>
      <c r="E73" s="22" t="s">
        <v>31</v>
      </c>
      <c r="F73" s="14" t="s">
        <v>38</v>
      </c>
      <c r="G73" s="5" t="s">
        <v>149</v>
      </c>
      <c r="H73" s="5" t="s">
        <v>150</v>
      </c>
      <c r="I73" s="5" t="s">
        <v>256</v>
      </c>
      <c r="J73" s="5" t="s">
        <v>227</v>
      </c>
      <c r="K73" s="5" t="s">
        <v>27</v>
      </c>
      <c r="L73" s="5" t="s">
        <v>245</v>
      </c>
      <c r="M73" s="24">
        <v>4</v>
      </c>
      <c r="N73" s="4">
        <v>5.8333333333333336E-3</v>
      </c>
      <c r="O73" s="29"/>
      <c r="P73" s="29"/>
      <c r="Q73" s="29"/>
      <c r="R73" s="29"/>
      <c r="S73" s="46">
        <f>SUM(O73:R73)</f>
        <v>0</v>
      </c>
      <c r="T73" s="42" t="s">
        <v>250</v>
      </c>
      <c r="U73" s="17">
        <f t="shared" si="5"/>
        <v>0</v>
      </c>
      <c r="V73" s="13">
        <f t="shared" si="4"/>
        <v>0</v>
      </c>
      <c r="W73" s="58"/>
      <c r="X73" s="58"/>
      <c r="Y73" s="58"/>
      <c r="Z73" s="58"/>
    </row>
    <row r="74" spans="1:26" s="6" customFormat="1" ht="94.5" customHeight="1" x14ac:dyDescent="0.2">
      <c r="A74" s="70">
        <v>65</v>
      </c>
      <c r="B74" s="11" t="s">
        <v>286</v>
      </c>
      <c r="C74" s="12" t="s">
        <v>30</v>
      </c>
      <c r="D74" s="20" t="s">
        <v>264</v>
      </c>
      <c r="E74" s="22" t="s">
        <v>37</v>
      </c>
      <c r="F74" s="14" t="s">
        <v>38</v>
      </c>
      <c r="G74" s="5" t="s">
        <v>151</v>
      </c>
      <c r="H74" s="5" t="s">
        <v>152</v>
      </c>
      <c r="I74" s="5" t="s">
        <v>256</v>
      </c>
      <c r="J74" s="5" t="s">
        <v>347</v>
      </c>
      <c r="K74" s="5" t="s">
        <v>27</v>
      </c>
      <c r="L74" s="5" t="s">
        <v>246</v>
      </c>
      <c r="M74" s="26">
        <v>1</v>
      </c>
      <c r="N74" s="4">
        <v>8.1666666666666676E-3</v>
      </c>
      <c r="O74" s="29"/>
      <c r="P74" s="34"/>
      <c r="Q74" s="34"/>
      <c r="R74" s="34"/>
      <c r="S74" s="44">
        <f>+R74</f>
        <v>0</v>
      </c>
      <c r="T74" s="42" t="s">
        <v>251</v>
      </c>
      <c r="U74" s="17">
        <f t="shared" si="5"/>
        <v>0</v>
      </c>
      <c r="V74" s="13">
        <f t="shared" si="4"/>
        <v>0</v>
      </c>
      <c r="W74" s="58"/>
      <c r="X74" s="58"/>
      <c r="Y74" s="58"/>
      <c r="Z74" s="58"/>
    </row>
    <row r="75" spans="1:26" s="6" customFormat="1" ht="94.5" customHeight="1" x14ac:dyDescent="0.2">
      <c r="A75" s="70">
        <v>66</v>
      </c>
      <c r="B75" s="11" t="s">
        <v>286</v>
      </c>
      <c r="C75" s="12" t="s">
        <v>30</v>
      </c>
      <c r="D75" s="20" t="s">
        <v>264</v>
      </c>
      <c r="E75" s="22" t="s">
        <v>37</v>
      </c>
      <c r="F75" s="14" t="s">
        <v>38</v>
      </c>
      <c r="G75" s="5" t="s">
        <v>131</v>
      </c>
      <c r="H75" s="5" t="s">
        <v>132</v>
      </c>
      <c r="I75" s="5" t="s">
        <v>256</v>
      </c>
      <c r="J75" s="5" t="s">
        <v>220</v>
      </c>
      <c r="K75" s="5" t="s">
        <v>27</v>
      </c>
      <c r="L75" s="5" t="s">
        <v>245</v>
      </c>
      <c r="M75" s="24">
        <v>1</v>
      </c>
      <c r="N75" s="4">
        <v>3.3250000000000003E-3</v>
      </c>
      <c r="O75" s="90"/>
      <c r="P75" s="28"/>
      <c r="Q75" s="28"/>
      <c r="R75" s="28"/>
      <c r="S75" s="46">
        <f>SUM(O75:R75)</f>
        <v>0</v>
      </c>
      <c r="T75" s="42" t="s">
        <v>250</v>
      </c>
      <c r="U75" s="17">
        <f t="shared" si="5"/>
        <v>0</v>
      </c>
      <c r="V75" s="13">
        <f t="shared" si="4"/>
        <v>0</v>
      </c>
      <c r="W75" s="58"/>
      <c r="X75" s="58"/>
      <c r="Y75" s="58"/>
      <c r="Z75" s="58"/>
    </row>
    <row r="76" spans="1:26" s="6" customFormat="1" ht="89.25" x14ac:dyDescent="0.2">
      <c r="A76" s="70">
        <v>67</v>
      </c>
      <c r="B76" s="11" t="s">
        <v>286</v>
      </c>
      <c r="C76" s="12" t="s">
        <v>30</v>
      </c>
      <c r="D76" s="20" t="s">
        <v>264</v>
      </c>
      <c r="E76" s="22" t="s">
        <v>37</v>
      </c>
      <c r="F76" s="14" t="s">
        <v>40</v>
      </c>
      <c r="G76" s="5" t="s">
        <v>133</v>
      </c>
      <c r="H76" s="5" t="s">
        <v>134</v>
      </c>
      <c r="I76" s="5" t="s">
        <v>256</v>
      </c>
      <c r="J76" s="5" t="s">
        <v>221</v>
      </c>
      <c r="K76" s="5" t="s">
        <v>27</v>
      </c>
      <c r="L76" s="5" t="s">
        <v>246</v>
      </c>
      <c r="M76" s="26">
        <v>1</v>
      </c>
      <c r="N76" s="4">
        <v>5.9500000000000013E-3</v>
      </c>
      <c r="O76" s="53"/>
      <c r="P76" s="53"/>
      <c r="Q76" s="53"/>
      <c r="R76" s="53"/>
      <c r="S76" s="44">
        <f>+MAX(O76:R76)</f>
        <v>0</v>
      </c>
      <c r="T76" s="42" t="s">
        <v>249</v>
      </c>
      <c r="U76" s="17">
        <f t="shared" si="5"/>
        <v>0</v>
      </c>
      <c r="V76" s="13">
        <f t="shared" si="4"/>
        <v>0</v>
      </c>
      <c r="W76" s="58"/>
      <c r="X76" s="58"/>
      <c r="Y76" s="58"/>
      <c r="Z76" s="58"/>
    </row>
    <row r="77" spans="1:26" s="6" customFormat="1" ht="89.25" x14ac:dyDescent="0.2">
      <c r="A77" s="70">
        <v>68</v>
      </c>
      <c r="B77" s="11" t="s">
        <v>286</v>
      </c>
      <c r="C77" s="12" t="s">
        <v>30</v>
      </c>
      <c r="D77" s="20" t="s">
        <v>261</v>
      </c>
      <c r="E77" s="22" t="s">
        <v>36</v>
      </c>
      <c r="F77" s="14" t="s">
        <v>40</v>
      </c>
      <c r="G77" s="5" t="s">
        <v>336</v>
      </c>
      <c r="H77" s="5" t="s">
        <v>337</v>
      </c>
      <c r="I77" s="5" t="s">
        <v>255</v>
      </c>
      <c r="J77" s="5" t="s">
        <v>338</v>
      </c>
      <c r="K77" s="5" t="s">
        <v>27</v>
      </c>
      <c r="L77" s="5" t="s">
        <v>245</v>
      </c>
      <c r="M77" s="26">
        <v>0.85</v>
      </c>
      <c r="N77" s="4">
        <v>4.6666666666666671E-3</v>
      </c>
      <c r="O77" s="61"/>
      <c r="P77" s="61"/>
      <c r="Q77" s="61"/>
      <c r="R77" s="61"/>
      <c r="S77" s="46">
        <f>MAX(O77:R77)</f>
        <v>0</v>
      </c>
      <c r="T77" s="42" t="s">
        <v>250</v>
      </c>
      <c r="U77" s="17">
        <f t="shared" si="5"/>
        <v>0</v>
      </c>
      <c r="V77" s="13">
        <f t="shared" si="4"/>
        <v>0</v>
      </c>
      <c r="W77" s="58"/>
      <c r="X77" s="58"/>
      <c r="Y77" s="58"/>
      <c r="Z77" s="58"/>
    </row>
    <row r="78" spans="1:26" s="6" customFormat="1" ht="89.25" x14ac:dyDescent="0.2">
      <c r="A78" s="70">
        <v>69</v>
      </c>
      <c r="B78" s="11" t="s">
        <v>286</v>
      </c>
      <c r="C78" s="12" t="s">
        <v>30</v>
      </c>
      <c r="D78" s="20" t="s">
        <v>264</v>
      </c>
      <c r="E78" s="22" t="s">
        <v>37</v>
      </c>
      <c r="F78" s="14" t="s">
        <v>40</v>
      </c>
      <c r="G78" s="5" t="s">
        <v>153</v>
      </c>
      <c r="H78" s="5" t="s">
        <v>339</v>
      </c>
      <c r="I78" s="5" t="s">
        <v>256</v>
      </c>
      <c r="J78" s="5" t="s">
        <v>340</v>
      </c>
      <c r="K78" s="5" t="s">
        <v>27</v>
      </c>
      <c r="L78" s="5" t="s">
        <v>245</v>
      </c>
      <c r="M78" s="24">
        <v>12</v>
      </c>
      <c r="N78" s="4">
        <v>7.000000000000001E-3</v>
      </c>
      <c r="O78" s="61"/>
      <c r="P78" s="61"/>
      <c r="Q78" s="61"/>
      <c r="R78" s="61"/>
      <c r="S78" s="46">
        <f>SUM(O78:R78)</f>
        <v>0</v>
      </c>
      <c r="T78" s="42" t="s">
        <v>250</v>
      </c>
      <c r="U78" s="17">
        <f t="shared" si="5"/>
        <v>0</v>
      </c>
      <c r="V78" s="13">
        <f t="shared" si="4"/>
        <v>0</v>
      </c>
      <c r="W78" s="58"/>
      <c r="X78" s="58"/>
      <c r="Y78" s="58"/>
      <c r="Z78" s="58"/>
    </row>
    <row r="79" spans="1:26" s="6" customFormat="1" ht="89.25" x14ac:dyDescent="0.2">
      <c r="A79" s="70">
        <v>70</v>
      </c>
      <c r="B79" s="11" t="s">
        <v>286</v>
      </c>
      <c r="C79" s="12" t="s">
        <v>30</v>
      </c>
      <c r="D79" s="20" t="s">
        <v>265</v>
      </c>
      <c r="E79" s="22" t="s">
        <v>33</v>
      </c>
      <c r="F79" s="14" t="s">
        <v>40</v>
      </c>
      <c r="G79" s="5" t="s">
        <v>154</v>
      </c>
      <c r="H79" s="5" t="s">
        <v>155</v>
      </c>
      <c r="I79" s="5" t="s">
        <v>257</v>
      </c>
      <c r="J79" s="5" t="s">
        <v>280</v>
      </c>
      <c r="K79" s="5" t="s">
        <v>27</v>
      </c>
      <c r="L79" s="5" t="s">
        <v>245</v>
      </c>
      <c r="M79" s="69">
        <v>300000000</v>
      </c>
      <c r="N79" s="4">
        <v>4.8124999999999999E-3</v>
      </c>
      <c r="O79" s="69"/>
      <c r="P79" s="61"/>
      <c r="Q79" s="61"/>
      <c r="R79" s="61"/>
      <c r="S79" s="46">
        <f>SUM(O79:R79)</f>
        <v>0</v>
      </c>
      <c r="T79" s="42" t="s">
        <v>250</v>
      </c>
      <c r="U79" s="17">
        <f t="shared" si="5"/>
        <v>0</v>
      </c>
      <c r="V79" s="13">
        <f t="shared" ref="V79:V111" si="10">+IF(U79&lt;=100%,U79*N79,N79)</f>
        <v>0</v>
      </c>
      <c r="W79" s="58"/>
      <c r="X79" s="58"/>
      <c r="Y79" s="58"/>
      <c r="Z79" s="58"/>
    </row>
    <row r="80" spans="1:26" s="6" customFormat="1" ht="89.25" x14ac:dyDescent="0.2">
      <c r="A80" s="70">
        <v>71</v>
      </c>
      <c r="B80" s="11" t="s">
        <v>286</v>
      </c>
      <c r="C80" s="12" t="s">
        <v>30</v>
      </c>
      <c r="D80" s="20" t="s">
        <v>264</v>
      </c>
      <c r="E80" s="22" t="s">
        <v>37</v>
      </c>
      <c r="F80" s="14" t="s">
        <v>40</v>
      </c>
      <c r="G80" s="5" t="s">
        <v>129</v>
      </c>
      <c r="H80" s="5" t="s">
        <v>130</v>
      </c>
      <c r="I80" s="5" t="s">
        <v>256</v>
      </c>
      <c r="J80" s="5" t="s">
        <v>219</v>
      </c>
      <c r="K80" s="5" t="s">
        <v>27</v>
      </c>
      <c r="L80" s="5" t="s">
        <v>245</v>
      </c>
      <c r="M80" s="27">
        <v>0.85</v>
      </c>
      <c r="N80" s="4">
        <v>5.2500000000000012E-3</v>
      </c>
      <c r="O80" s="62"/>
      <c r="P80" s="62"/>
      <c r="Q80" s="62"/>
      <c r="R80" s="62"/>
      <c r="S80" s="44">
        <f>+MAX(O80:R80)</f>
        <v>0</v>
      </c>
      <c r="T80" s="42" t="s">
        <v>248</v>
      </c>
      <c r="U80" s="17">
        <f t="shared" si="5"/>
        <v>0</v>
      </c>
      <c r="V80" s="13">
        <f t="shared" si="10"/>
        <v>0</v>
      </c>
      <c r="W80" s="58"/>
      <c r="X80" s="58"/>
      <c r="Y80" s="58"/>
      <c r="Z80" s="58"/>
    </row>
    <row r="81" spans="1:26" s="6" customFormat="1" ht="89.25" x14ac:dyDescent="0.2">
      <c r="A81" s="70">
        <v>72</v>
      </c>
      <c r="B81" s="11" t="s">
        <v>286</v>
      </c>
      <c r="C81" s="12" t="s">
        <v>30</v>
      </c>
      <c r="D81" s="20" t="s">
        <v>264</v>
      </c>
      <c r="E81" s="22" t="s">
        <v>37</v>
      </c>
      <c r="F81" s="14" t="s">
        <v>40</v>
      </c>
      <c r="G81" s="5" t="s">
        <v>131</v>
      </c>
      <c r="H81" s="5" t="s">
        <v>132</v>
      </c>
      <c r="I81" s="5" t="s">
        <v>256</v>
      </c>
      <c r="J81" s="5" t="s">
        <v>220</v>
      </c>
      <c r="K81" s="5" t="s">
        <v>27</v>
      </c>
      <c r="L81" s="5" t="s">
        <v>245</v>
      </c>
      <c r="M81" s="24">
        <v>1</v>
      </c>
      <c r="N81" s="4">
        <v>3.3250000000000003E-3</v>
      </c>
      <c r="O81" s="61"/>
      <c r="P81" s="61"/>
      <c r="Q81" s="61"/>
      <c r="R81" s="61"/>
      <c r="S81" s="46">
        <f>SUM(O81:R81)</f>
        <v>0</v>
      </c>
      <c r="T81" s="42" t="s">
        <v>250</v>
      </c>
      <c r="U81" s="17">
        <f t="shared" si="5"/>
        <v>0</v>
      </c>
      <c r="V81" s="13">
        <f t="shared" si="10"/>
        <v>0</v>
      </c>
      <c r="W81" s="58"/>
      <c r="X81" s="58"/>
      <c r="Y81" s="58"/>
      <c r="Z81" s="65"/>
    </row>
    <row r="82" spans="1:26" s="6" customFormat="1" ht="104.25" customHeight="1" x14ac:dyDescent="0.2">
      <c r="A82" s="70">
        <v>73</v>
      </c>
      <c r="B82" s="11" t="s">
        <v>286</v>
      </c>
      <c r="C82" s="12" t="s">
        <v>30</v>
      </c>
      <c r="D82" s="20" t="s">
        <v>264</v>
      </c>
      <c r="E82" s="22" t="s">
        <v>37</v>
      </c>
      <c r="F82" s="14" t="s">
        <v>40</v>
      </c>
      <c r="G82" s="5" t="s">
        <v>341</v>
      </c>
      <c r="H82" s="5" t="s">
        <v>342</v>
      </c>
      <c r="I82" s="5" t="s">
        <v>256</v>
      </c>
      <c r="J82" s="5" t="s">
        <v>343</v>
      </c>
      <c r="K82" s="5" t="s">
        <v>27</v>
      </c>
      <c r="L82" s="5" t="s">
        <v>245</v>
      </c>
      <c r="M82" s="24">
        <v>50</v>
      </c>
      <c r="N82" s="4">
        <v>7.000000000000001E-3</v>
      </c>
      <c r="O82" s="61"/>
      <c r="P82" s="61"/>
      <c r="Q82" s="61"/>
      <c r="R82" s="61"/>
      <c r="S82" s="46">
        <f>SUM(O82:R82)</f>
        <v>0</v>
      </c>
      <c r="T82" s="42" t="s">
        <v>250</v>
      </c>
      <c r="U82" s="17">
        <f t="shared" si="5"/>
        <v>0</v>
      </c>
      <c r="V82" s="13">
        <f t="shared" si="10"/>
        <v>0</v>
      </c>
      <c r="W82" s="89"/>
      <c r="X82" s="58"/>
      <c r="Y82" s="58"/>
      <c r="Z82" s="58"/>
    </row>
    <row r="83" spans="1:26" s="6" customFormat="1" ht="144.75" customHeight="1" x14ac:dyDescent="0.2">
      <c r="A83" s="70">
        <v>74</v>
      </c>
      <c r="B83" s="11" t="s">
        <v>286</v>
      </c>
      <c r="C83" s="12" t="s">
        <v>30</v>
      </c>
      <c r="D83" s="20" t="s">
        <v>262</v>
      </c>
      <c r="E83" s="22" t="s">
        <v>33</v>
      </c>
      <c r="F83" s="14" t="s">
        <v>40</v>
      </c>
      <c r="G83" s="5" t="s">
        <v>156</v>
      </c>
      <c r="H83" s="5" t="s">
        <v>25</v>
      </c>
      <c r="I83" s="5" t="s">
        <v>255</v>
      </c>
      <c r="J83" s="5" t="s">
        <v>228</v>
      </c>
      <c r="K83" s="5" t="s">
        <v>27</v>
      </c>
      <c r="L83" s="5" t="s">
        <v>245</v>
      </c>
      <c r="M83" s="24">
        <v>1</v>
      </c>
      <c r="N83" s="4">
        <v>4.6666666666666671E-3</v>
      </c>
      <c r="O83" s="61"/>
      <c r="P83" s="61"/>
      <c r="Q83" s="61"/>
      <c r="R83" s="61"/>
      <c r="S83" s="46">
        <f>SUM(O83:R83)</f>
        <v>0</v>
      </c>
      <c r="T83" s="42" t="s">
        <v>250</v>
      </c>
      <c r="U83" s="17">
        <f t="shared" si="5"/>
        <v>0</v>
      </c>
      <c r="V83" s="13">
        <f t="shared" si="10"/>
        <v>0</v>
      </c>
      <c r="W83" s="89"/>
      <c r="X83" s="58"/>
      <c r="Y83" s="58"/>
      <c r="Z83" s="58"/>
    </row>
    <row r="84" spans="1:26" s="6" customFormat="1" ht="94.5" customHeight="1" x14ac:dyDescent="0.2">
      <c r="A84" s="70">
        <v>75</v>
      </c>
      <c r="B84" s="11" t="s">
        <v>286</v>
      </c>
      <c r="C84" s="12" t="s">
        <v>30</v>
      </c>
      <c r="D84" s="20" t="s">
        <v>264</v>
      </c>
      <c r="E84" s="22" t="s">
        <v>37</v>
      </c>
      <c r="F84" s="14" t="s">
        <v>41</v>
      </c>
      <c r="G84" s="5" t="s">
        <v>133</v>
      </c>
      <c r="H84" s="5" t="s">
        <v>134</v>
      </c>
      <c r="I84" s="5" t="s">
        <v>256</v>
      </c>
      <c r="J84" s="5" t="s">
        <v>221</v>
      </c>
      <c r="K84" s="5" t="s">
        <v>27</v>
      </c>
      <c r="L84" s="5" t="s">
        <v>246</v>
      </c>
      <c r="M84" s="26">
        <v>1</v>
      </c>
      <c r="N84" s="4">
        <v>5.9500000000000013E-3</v>
      </c>
      <c r="O84" s="53"/>
      <c r="P84" s="64"/>
      <c r="Q84" s="64"/>
      <c r="R84" s="34"/>
      <c r="S84" s="44">
        <f>SUM(O84:R84)</f>
        <v>0</v>
      </c>
      <c r="T84" s="42" t="s">
        <v>250</v>
      </c>
      <c r="U84" s="17">
        <f t="shared" si="5"/>
        <v>0</v>
      </c>
      <c r="V84" s="13">
        <f t="shared" si="10"/>
        <v>0</v>
      </c>
      <c r="W84" s="58"/>
      <c r="X84" s="58"/>
      <c r="Y84" s="58"/>
      <c r="Z84" s="58"/>
    </row>
    <row r="85" spans="1:26" s="6" customFormat="1" ht="94.5" customHeight="1" x14ac:dyDescent="0.2">
      <c r="A85" s="70">
        <v>76</v>
      </c>
      <c r="B85" s="11" t="s">
        <v>286</v>
      </c>
      <c r="C85" s="12" t="s">
        <v>30</v>
      </c>
      <c r="D85" s="20" t="s">
        <v>264</v>
      </c>
      <c r="E85" s="22" t="s">
        <v>37</v>
      </c>
      <c r="F85" s="14" t="s">
        <v>41</v>
      </c>
      <c r="G85" s="5" t="s">
        <v>157</v>
      </c>
      <c r="H85" s="5" t="s">
        <v>158</v>
      </c>
      <c r="I85" s="5" t="s">
        <v>255</v>
      </c>
      <c r="J85" s="5" t="s">
        <v>229</v>
      </c>
      <c r="K85" s="5" t="s">
        <v>27</v>
      </c>
      <c r="L85" s="5" t="s">
        <v>246</v>
      </c>
      <c r="M85" s="26">
        <v>0.75</v>
      </c>
      <c r="N85" s="4">
        <v>8.1666666666666676E-3</v>
      </c>
      <c r="O85" s="88"/>
      <c r="P85" s="57"/>
      <c r="Q85" s="57"/>
      <c r="R85" s="28"/>
      <c r="S85" s="47">
        <f>+MAX(O85:R85)</f>
        <v>0</v>
      </c>
      <c r="T85" s="42" t="s">
        <v>249</v>
      </c>
      <c r="U85" s="17">
        <f t="shared" ref="U85:U115" si="11">+S85/M85</f>
        <v>0</v>
      </c>
      <c r="V85" s="13">
        <f t="shared" si="10"/>
        <v>0</v>
      </c>
      <c r="W85" s="58"/>
      <c r="X85" s="58"/>
      <c r="Y85" s="58"/>
      <c r="Z85" s="58"/>
    </row>
    <row r="86" spans="1:26" s="6" customFormat="1" ht="94.5" customHeight="1" x14ac:dyDescent="0.2">
      <c r="A86" s="70">
        <v>77</v>
      </c>
      <c r="B86" s="11" t="s">
        <v>286</v>
      </c>
      <c r="C86" s="12" t="s">
        <v>30</v>
      </c>
      <c r="D86" s="20" t="s">
        <v>264</v>
      </c>
      <c r="E86" s="22" t="s">
        <v>37</v>
      </c>
      <c r="F86" s="14" t="s">
        <v>41</v>
      </c>
      <c r="G86" s="5" t="s">
        <v>129</v>
      </c>
      <c r="H86" s="5" t="s">
        <v>130</v>
      </c>
      <c r="I86" s="5" t="s">
        <v>256</v>
      </c>
      <c r="J86" s="5" t="s">
        <v>219</v>
      </c>
      <c r="K86" s="5" t="s">
        <v>27</v>
      </c>
      <c r="L86" s="5" t="s">
        <v>245</v>
      </c>
      <c r="M86" s="27">
        <v>0.85</v>
      </c>
      <c r="N86" s="4">
        <v>5.2500000000000012E-3</v>
      </c>
      <c r="O86" s="50"/>
      <c r="P86" s="29"/>
      <c r="Q86" s="29"/>
      <c r="R86" s="29"/>
      <c r="S86" s="44">
        <f>+MAX(O86:R86)</f>
        <v>0</v>
      </c>
      <c r="T86" s="42" t="s">
        <v>248</v>
      </c>
      <c r="U86" s="17">
        <f t="shared" si="11"/>
        <v>0</v>
      </c>
      <c r="V86" s="13">
        <f t="shared" si="10"/>
        <v>0</v>
      </c>
      <c r="W86" s="58"/>
      <c r="X86" s="58"/>
      <c r="Y86" s="58"/>
      <c r="Z86" s="58"/>
    </row>
    <row r="87" spans="1:26" s="6" customFormat="1" ht="94.5" customHeight="1" x14ac:dyDescent="0.2">
      <c r="A87" s="70">
        <v>78</v>
      </c>
      <c r="B87" s="11" t="s">
        <v>286</v>
      </c>
      <c r="C87" s="12" t="s">
        <v>30</v>
      </c>
      <c r="D87" s="20" t="s">
        <v>263</v>
      </c>
      <c r="E87" s="22" t="s">
        <v>34</v>
      </c>
      <c r="F87" s="14" t="s">
        <v>41</v>
      </c>
      <c r="G87" s="5" t="s">
        <v>159</v>
      </c>
      <c r="H87" s="5" t="s">
        <v>160</v>
      </c>
      <c r="I87" s="5" t="s">
        <v>256</v>
      </c>
      <c r="J87" s="5" t="s">
        <v>230</v>
      </c>
      <c r="K87" s="5" t="s">
        <v>27</v>
      </c>
      <c r="L87" s="5" t="s">
        <v>246</v>
      </c>
      <c r="M87" s="26">
        <v>1</v>
      </c>
      <c r="N87" s="4">
        <v>5.2500000000000012E-3</v>
      </c>
      <c r="O87" s="53"/>
      <c r="P87" s="34"/>
      <c r="Q87" s="34"/>
      <c r="R87" s="34"/>
      <c r="S87" s="44">
        <f>+R87</f>
        <v>0</v>
      </c>
      <c r="T87" s="42" t="s">
        <v>251</v>
      </c>
      <c r="U87" s="17">
        <f t="shared" si="11"/>
        <v>0</v>
      </c>
      <c r="V87" s="13">
        <f t="shared" si="10"/>
        <v>0</v>
      </c>
      <c r="W87" s="58"/>
      <c r="X87" s="58"/>
      <c r="Y87" s="58"/>
      <c r="Z87" s="58"/>
    </row>
    <row r="88" spans="1:26" s="6" customFormat="1" ht="94.5" customHeight="1" x14ac:dyDescent="0.2">
      <c r="A88" s="70">
        <v>79</v>
      </c>
      <c r="B88" s="11" t="s">
        <v>286</v>
      </c>
      <c r="C88" s="12" t="s">
        <v>30</v>
      </c>
      <c r="D88" s="20" t="s">
        <v>264</v>
      </c>
      <c r="E88" s="22" t="s">
        <v>37</v>
      </c>
      <c r="F88" s="14" t="s">
        <v>41</v>
      </c>
      <c r="G88" s="5" t="s">
        <v>131</v>
      </c>
      <c r="H88" s="5" t="s">
        <v>132</v>
      </c>
      <c r="I88" s="5" t="s">
        <v>256</v>
      </c>
      <c r="J88" s="5" t="s">
        <v>220</v>
      </c>
      <c r="K88" s="5" t="s">
        <v>27</v>
      </c>
      <c r="L88" s="5" t="s">
        <v>245</v>
      </c>
      <c r="M88" s="24">
        <v>1</v>
      </c>
      <c r="N88" s="4">
        <v>3.3250000000000003E-3</v>
      </c>
      <c r="O88" s="51"/>
      <c r="P88" s="28"/>
      <c r="Q88" s="28"/>
      <c r="R88" s="28"/>
      <c r="S88" s="46">
        <f>SUM(O88:R88)</f>
        <v>0</v>
      </c>
      <c r="T88" s="42" t="s">
        <v>250</v>
      </c>
      <c r="U88" s="17">
        <f t="shared" si="11"/>
        <v>0</v>
      </c>
      <c r="V88" s="13">
        <f t="shared" si="10"/>
        <v>0</v>
      </c>
      <c r="W88" s="58"/>
      <c r="X88" s="58"/>
      <c r="Y88" s="58"/>
      <c r="Z88" s="58"/>
    </row>
    <row r="89" spans="1:26" s="6" customFormat="1" ht="94.5" customHeight="1" x14ac:dyDescent="0.2">
      <c r="A89" s="70">
        <v>80</v>
      </c>
      <c r="B89" s="11" t="s">
        <v>286</v>
      </c>
      <c r="C89" s="12" t="s">
        <v>30</v>
      </c>
      <c r="D89" s="20" t="s">
        <v>264</v>
      </c>
      <c r="E89" s="22" t="s">
        <v>37</v>
      </c>
      <c r="F89" s="14" t="s">
        <v>43</v>
      </c>
      <c r="G89" s="5" t="s">
        <v>133</v>
      </c>
      <c r="H89" s="5" t="s">
        <v>134</v>
      </c>
      <c r="I89" s="5" t="s">
        <v>256</v>
      </c>
      <c r="J89" s="5" t="s">
        <v>221</v>
      </c>
      <c r="K89" s="5" t="s">
        <v>27</v>
      </c>
      <c r="L89" s="5" t="s">
        <v>246</v>
      </c>
      <c r="M89" s="26">
        <v>0.9</v>
      </c>
      <c r="N89" s="4">
        <v>6.0287499999999994E-3</v>
      </c>
      <c r="O89" s="34"/>
      <c r="P89" s="34"/>
      <c r="Q89" s="34"/>
      <c r="R89" s="34"/>
      <c r="S89" s="44">
        <f>+MAX(O89:R89)</f>
        <v>0</v>
      </c>
      <c r="T89" s="42" t="s">
        <v>249</v>
      </c>
      <c r="U89" s="17">
        <f t="shared" si="11"/>
        <v>0</v>
      </c>
      <c r="V89" s="13">
        <f t="shared" si="10"/>
        <v>0</v>
      </c>
      <c r="W89" s="58"/>
      <c r="X89" s="58"/>
      <c r="Y89" s="58"/>
      <c r="Z89" s="58"/>
    </row>
    <row r="90" spans="1:26" s="6" customFormat="1" ht="94.5" customHeight="1" x14ac:dyDescent="0.2">
      <c r="A90" s="70">
        <v>81</v>
      </c>
      <c r="B90" s="11" t="s">
        <v>286</v>
      </c>
      <c r="C90" s="12" t="s">
        <v>30</v>
      </c>
      <c r="D90" s="20" t="s">
        <v>261</v>
      </c>
      <c r="E90" s="22" t="s">
        <v>36</v>
      </c>
      <c r="F90" s="14" t="s">
        <v>43</v>
      </c>
      <c r="G90" s="5" t="s">
        <v>161</v>
      </c>
      <c r="H90" s="5" t="s">
        <v>162</v>
      </c>
      <c r="I90" s="5" t="s">
        <v>255</v>
      </c>
      <c r="J90" s="75" t="s">
        <v>231</v>
      </c>
      <c r="K90" s="5" t="s">
        <v>27</v>
      </c>
      <c r="L90" s="5" t="s">
        <v>245</v>
      </c>
      <c r="M90" s="26">
        <v>0.9</v>
      </c>
      <c r="N90" s="4">
        <v>4.6666666666666671E-3</v>
      </c>
      <c r="O90" s="64"/>
      <c r="P90" s="34"/>
      <c r="Q90" s="34"/>
      <c r="R90" s="34"/>
      <c r="S90" s="44">
        <f>SUM(O90:R90)</f>
        <v>0</v>
      </c>
      <c r="T90" s="42" t="s">
        <v>250</v>
      </c>
      <c r="U90" s="17">
        <f t="shared" si="11"/>
        <v>0</v>
      </c>
      <c r="V90" s="13">
        <f t="shared" si="10"/>
        <v>0</v>
      </c>
      <c r="W90" s="58"/>
      <c r="X90" s="58"/>
      <c r="Y90" s="58"/>
      <c r="Z90" s="58"/>
    </row>
    <row r="91" spans="1:26" s="6" customFormat="1" ht="94.5" customHeight="1" x14ac:dyDescent="0.2">
      <c r="A91" s="70">
        <v>82</v>
      </c>
      <c r="B91" s="11" t="s">
        <v>286</v>
      </c>
      <c r="C91" s="12" t="s">
        <v>30</v>
      </c>
      <c r="D91" s="20" t="s">
        <v>261</v>
      </c>
      <c r="E91" s="22" t="s">
        <v>36</v>
      </c>
      <c r="F91" s="14" t="s">
        <v>43</v>
      </c>
      <c r="G91" s="5" t="s">
        <v>163</v>
      </c>
      <c r="H91" s="5" t="s">
        <v>164</v>
      </c>
      <c r="I91" s="5" t="s">
        <v>256</v>
      </c>
      <c r="J91" s="5" t="s">
        <v>232</v>
      </c>
      <c r="K91" s="5" t="s">
        <v>27</v>
      </c>
      <c r="L91" s="5" t="s">
        <v>246</v>
      </c>
      <c r="M91" s="26">
        <v>0.85</v>
      </c>
      <c r="N91" s="4">
        <v>8.0000000000000002E-3</v>
      </c>
      <c r="O91" s="34"/>
      <c r="P91" s="34"/>
      <c r="Q91" s="34"/>
      <c r="R91" s="34"/>
      <c r="S91" s="44">
        <f>+MAX(O91:R91)</f>
        <v>0</v>
      </c>
      <c r="T91" s="42" t="s">
        <v>249</v>
      </c>
      <c r="U91" s="17">
        <f t="shared" si="11"/>
        <v>0</v>
      </c>
      <c r="V91" s="13">
        <f t="shared" si="10"/>
        <v>0</v>
      </c>
      <c r="W91" s="58"/>
      <c r="X91" s="58"/>
      <c r="Y91" s="58"/>
      <c r="Z91" s="58"/>
    </row>
    <row r="92" spans="1:26" s="6" customFormat="1" ht="94.5" customHeight="1" x14ac:dyDescent="0.2">
      <c r="A92" s="70">
        <v>83</v>
      </c>
      <c r="B92" s="11" t="s">
        <v>286</v>
      </c>
      <c r="C92" s="12" t="s">
        <v>30</v>
      </c>
      <c r="D92" s="20" t="s">
        <v>264</v>
      </c>
      <c r="E92" s="22" t="s">
        <v>37</v>
      </c>
      <c r="F92" s="14" t="s">
        <v>43</v>
      </c>
      <c r="G92" s="5" t="s">
        <v>165</v>
      </c>
      <c r="H92" s="5" t="s">
        <v>166</v>
      </c>
      <c r="I92" s="5" t="s">
        <v>256</v>
      </c>
      <c r="J92" s="5" t="s">
        <v>233</v>
      </c>
      <c r="K92" s="5" t="s">
        <v>27</v>
      </c>
      <c r="L92" s="5" t="s">
        <v>246</v>
      </c>
      <c r="M92" s="26">
        <v>0.85</v>
      </c>
      <c r="N92" s="4">
        <v>5.0000000000000001E-3</v>
      </c>
      <c r="O92" s="34"/>
      <c r="P92" s="34"/>
      <c r="Q92" s="34"/>
      <c r="R92" s="34"/>
      <c r="S92" s="44">
        <f>+MAX(O92:R92)</f>
        <v>0</v>
      </c>
      <c r="T92" s="42" t="s">
        <v>249</v>
      </c>
      <c r="U92" s="17">
        <f t="shared" si="11"/>
        <v>0</v>
      </c>
      <c r="V92" s="13">
        <f t="shared" si="10"/>
        <v>0</v>
      </c>
      <c r="W92" s="58"/>
      <c r="X92" s="58"/>
      <c r="Y92" s="58"/>
      <c r="Z92" s="58"/>
    </row>
    <row r="93" spans="1:26" s="6" customFormat="1" ht="94.5" customHeight="1" x14ac:dyDescent="0.2">
      <c r="A93" s="70">
        <v>84</v>
      </c>
      <c r="B93" s="11" t="s">
        <v>286</v>
      </c>
      <c r="C93" s="12" t="s">
        <v>30</v>
      </c>
      <c r="D93" s="20" t="s">
        <v>261</v>
      </c>
      <c r="E93" s="22" t="s">
        <v>36</v>
      </c>
      <c r="F93" s="14" t="s">
        <v>43</v>
      </c>
      <c r="G93" s="5" t="s">
        <v>167</v>
      </c>
      <c r="H93" s="5" t="s">
        <v>168</v>
      </c>
      <c r="I93" s="5" t="s">
        <v>256</v>
      </c>
      <c r="J93" s="5" t="s">
        <v>234</v>
      </c>
      <c r="K93" s="5" t="s">
        <v>27</v>
      </c>
      <c r="L93" s="5" t="s">
        <v>246</v>
      </c>
      <c r="M93" s="26">
        <v>0.9</v>
      </c>
      <c r="N93" s="4">
        <v>7.000000000000001E-3</v>
      </c>
      <c r="O93" s="34"/>
      <c r="P93" s="34"/>
      <c r="Q93" s="34"/>
      <c r="R93" s="34"/>
      <c r="S93" s="44">
        <f>+MAX(O93:R93)</f>
        <v>0</v>
      </c>
      <c r="T93" s="42" t="s">
        <v>249</v>
      </c>
      <c r="U93" s="17">
        <f t="shared" si="11"/>
        <v>0</v>
      </c>
      <c r="V93" s="13">
        <f t="shared" si="10"/>
        <v>0</v>
      </c>
      <c r="W93" s="58"/>
      <c r="X93" s="58"/>
      <c r="Y93" s="58"/>
      <c r="Z93" s="58"/>
    </row>
    <row r="94" spans="1:26" s="6" customFormat="1" ht="94.5" customHeight="1" x14ac:dyDescent="0.2">
      <c r="A94" s="70">
        <v>85</v>
      </c>
      <c r="B94" s="11" t="s">
        <v>286</v>
      </c>
      <c r="C94" s="12" t="s">
        <v>30</v>
      </c>
      <c r="D94" s="20" t="s">
        <v>261</v>
      </c>
      <c r="E94" s="22" t="s">
        <v>36</v>
      </c>
      <c r="F94" s="14" t="s">
        <v>43</v>
      </c>
      <c r="G94" s="5" t="s">
        <v>169</v>
      </c>
      <c r="H94" s="5" t="s">
        <v>170</v>
      </c>
      <c r="I94" s="5" t="s">
        <v>256</v>
      </c>
      <c r="J94" s="5" t="s">
        <v>235</v>
      </c>
      <c r="K94" s="5" t="s">
        <v>27</v>
      </c>
      <c r="L94" s="5" t="s">
        <v>245</v>
      </c>
      <c r="M94" s="24">
        <v>1</v>
      </c>
      <c r="N94" s="4">
        <v>4.4999999999999997E-3</v>
      </c>
      <c r="O94" s="28"/>
      <c r="P94" s="28"/>
      <c r="Q94" s="28"/>
      <c r="R94" s="28"/>
      <c r="S94" s="46">
        <f>SUM(O94:R94)</f>
        <v>0</v>
      </c>
      <c r="T94" s="42" t="s">
        <v>250</v>
      </c>
      <c r="U94" s="17">
        <f t="shared" si="11"/>
        <v>0</v>
      </c>
      <c r="V94" s="13">
        <f t="shared" si="10"/>
        <v>0</v>
      </c>
      <c r="W94" s="58"/>
      <c r="X94" s="58"/>
      <c r="Y94" s="58"/>
      <c r="Z94" s="58"/>
    </row>
    <row r="95" spans="1:26" s="6" customFormat="1" ht="94.5" customHeight="1" x14ac:dyDescent="0.2">
      <c r="A95" s="70">
        <v>86</v>
      </c>
      <c r="B95" s="11" t="s">
        <v>286</v>
      </c>
      <c r="C95" s="12" t="s">
        <v>30</v>
      </c>
      <c r="D95" s="20" t="s">
        <v>261</v>
      </c>
      <c r="E95" s="22" t="s">
        <v>36</v>
      </c>
      <c r="F95" s="14" t="s">
        <v>43</v>
      </c>
      <c r="G95" s="5" t="s">
        <v>169</v>
      </c>
      <c r="H95" s="5" t="s">
        <v>171</v>
      </c>
      <c r="I95" s="5" t="s">
        <v>255</v>
      </c>
      <c r="J95" s="5" t="s">
        <v>236</v>
      </c>
      <c r="K95" s="5" t="s">
        <v>27</v>
      </c>
      <c r="L95" s="5" t="s">
        <v>246</v>
      </c>
      <c r="M95" s="27">
        <v>0.9</v>
      </c>
      <c r="N95" s="4">
        <v>3.7000000000000002E-3</v>
      </c>
      <c r="O95" s="29"/>
      <c r="P95" s="29"/>
      <c r="Q95" s="29"/>
      <c r="R95" s="29"/>
      <c r="S95" s="44">
        <f>+MAX(O95:R95)</f>
        <v>0</v>
      </c>
      <c r="T95" s="42" t="s">
        <v>249</v>
      </c>
      <c r="U95" s="17">
        <f t="shared" si="11"/>
        <v>0</v>
      </c>
      <c r="V95" s="13">
        <f t="shared" si="10"/>
        <v>0</v>
      </c>
      <c r="W95" s="58"/>
      <c r="X95" s="58"/>
      <c r="Y95" s="58"/>
      <c r="Z95" s="58"/>
    </row>
    <row r="96" spans="1:26" s="6" customFormat="1" ht="94.5" customHeight="1" x14ac:dyDescent="0.2">
      <c r="A96" s="70"/>
      <c r="B96" s="11" t="s">
        <v>286</v>
      </c>
      <c r="C96" s="12" t="s">
        <v>30</v>
      </c>
      <c r="D96" s="20" t="s">
        <v>261</v>
      </c>
      <c r="E96" s="22" t="s">
        <v>37</v>
      </c>
      <c r="F96" s="14" t="s">
        <v>43</v>
      </c>
      <c r="G96" s="5" t="s">
        <v>129</v>
      </c>
      <c r="H96" s="5" t="s">
        <v>130</v>
      </c>
      <c r="I96" s="5" t="s">
        <v>256</v>
      </c>
      <c r="J96" s="5" t="s">
        <v>219</v>
      </c>
      <c r="K96" s="5" t="s">
        <v>27</v>
      </c>
      <c r="L96" s="5" t="s">
        <v>245</v>
      </c>
      <c r="M96" s="27">
        <v>0.85</v>
      </c>
      <c r="N96" s="4">
        <v>5.7999999999999996E-3</v>
      </c>
      <c r="O96" s="29"/>
      <c r="P96" s="29"/>
      <c r="Q96" s="29"/>
      <c r="R96" s="29"/>
      <c r="S96" s="44">
        <f>+MAX(O96:R96)</f>
        <v>0</v>
      </c>
      <c r="T96" s="42"/>
      <c r="U96" s="17">
        <f t="shared" si="11"/>
        <v>0</v>
      </c>
      <c r="V96" s="13">
        <f t="shared" si="10"/>
        <v>0</v>
      </c>
      <c r="W96" s="58"/>
      <c r="X96" s="58"/>
      <c r="Y96" s="58"/>
      <c r="Z96" s="58"/>
    </row>
    <row r="97" spans="1:26" s="6" customFormat="1" ht="94.5" customHeight="1" x14ac:dyDescent="0.2">
      <c r="A97" s="70">
        <v>87</v>
      </c>
      <c r="B97" s="11" t="s">
        <v>286</v>
      </c>
      <c r="C97" s="12" t="s">
        <v>30</v>
      </c>
      <c r="D97" s="20" t="s">
        <v>264</v>
      </c>
      <c r="E97" s="22" t="s">
        <v>37</v>
      </c>
      <c r="F97" s="14" t="s">
        <v>43</v>
      </c>
      <c r="G97" s="5" t="s">
        <v>131</v>
      </c>
      <c r="H97" s="5" t="s">
        <v>132</v>
      </c>
      <c r="I97" s="5" t="s">
        <v>256</v>
      </c>
      <c r="J97" s="5" t="s">
        <v>220</v>
      </c>
      <c r="K97" s="5" t="s">
        <v>27</v>
      </c>
      <c r="L97" s="5" t="s">
        <v>245</v>
      </c>
      <c r="M97" s="24">
        <v>1</v>
      </c>
      <c r="N97" s="4">
        <v>3.0000000000000001E-3</v>
      </c>
      <c r="O97" s="28"/>
      <c r="P97" s="28"/>
      <c r="Q97" s="28"/>
      <c r="R97" s="28"/>
      <c r="S97" s="46">
        <f>SUM(O97:R97)</f>
        <v>0</v>
      </c>
      <c r="T97" s="42" t="s">
        <v>250</v>
      </c>
      <c r="U97" s="17">
        <f t="shared" si="11"/>
        <v>0</v>
      </c>
      <c r="V97" s="13">
        <f t="shared" si="10"/>
        <v>0</v>
      </c>
      <c r="W97" s="58"/>
      <c r="X97" s="58"/>
      <c r="Y97" s="58"/>
      <c r="Z97" s="58"/>
    </row>
    <row r="98" spans="1:26" s="6" customFormat="1" ht="94.5" customHeight="1" x14ac:dyDescent="0.2">
      <c r="A98" s="70">
        <v>88</v>
      </c>
      <c r="B98" s="11" t="s">
        <v>286</v>
      </c>
      <c r="C98" s="12" t="s">
        <v>30</v>
      </c>
      <c r="D98" s="20" t="s">
        <v>261</v>
      </c>
      <c r="E98" s="22" t="s">
        <v>36</v>
      </c>
      <c r="F98" s="14" t="s">
        <v>43</v>
      </c>
      <c r="G98" s="5" t="s">
        <v>172</v>
      </c>
      <c r="H98" s="5" t="s">
        <v>332</v>
      </c>
      <c r="I98" s="5" t="s">
        <v>255</v>
      </c>
      <c r="J98" s="5" t="s">
        <v>333</v>
      </c>
      <c r="K98" s="5" t="s">
        <v>27</v>
      </c>
      <c r="L98" s="5" t="s">
        <v>245</v>
      </c>
      <c r="M98" s="24" t="s">
        <v>348</v>
      </c>
      <c r="N98" s="4">
        <v>5.0000000000000001E-3</v>
      </c>
      <c r="O98" s="28"/>
      <c r="P98" s="28"/>
      <c r="Q98" s="28"/>
      <c r="R98" s="28"/>
      <c r="S98" s="46">
        <f>SUM(O98:R98)</f>
        <v>0</v>
      </c>
      <c r="T98" s="42" t="s">
        <v>250</v>
      </c>
      <c r="U98" s="17" t="e">
        <f t="shared" si="11"/>
        <v>#VALUE!</v>
      </c>
      <c r="V98" s="13" t="e">
        <f t="shared" si="10"/>
        <v>#VALUE!</v>
      </c>
      <c r="W98" s="58"/>
      <c r="X98" s="58"/>
      <c r="Y98" s="58"/>
      <c r="Z98" s="58"/>
    </row>
    <row r="99" spans="1:26" s="6" customFormat="1" ht="94.5" customHeight="1" x14ac:dyDescent="0.2">
      <c r="A99" s="70">
        <v>89</v>
      </c>
      <c r="B99" s="11" t="s">
        <v>286</v>
      </c>
      <c r="C99" s="12" t="s">
        <v>30</v>
      </c>
      <c r="D99" s="20" t="s">
        <v>264</v>
      </c>
      <c r="E99" s="22" t="s">
        <v>37</v>
      </c>
      <c r="F99" s="14" t="s">
        <v>46</v>
      </c>
      <c r="G99" s="5" t="s">
        <v>173</v>
      </c>
      <c r="H99" s="5" t="s">
        <v>174</v>
      </c>
      <c r="I99" s="5" t="s">
        <v>255</v>
      </c>
      <c r="J99" s="5" t="s">
        <v>237</v>
      </c>
      <c r="K99" s="5" t="s">
        <v>27</v>
      </c>
      <c r="L99" s="5" t="s">
        <v>246</v>
      </c>
      <c r="M99" s="27">
        <v>0.9</v>
      </c>
      <c r="N99" s="4">
        <v>6.1250000000000011E-3</v>
      </c>
      <c r="O99" s="29"/>
      <c r="P99" s="29"/>
      <c r="Q99" s="29"/>
      <c r="R99" s="29"/>
      <c r="S99" s="44">
        <f>+MAX(O99:R99)</f>
        <v>0</v>
      </c>
      <c r="T99" s="42" t="s">
        <v>249</v>
      </c>
      <c r="U99" s="17">
        <f t="shared" si="11"/>
        <v>0</v>
      </c>
      <c r="V99" s="13">
        <f t="shared" si="10"/>
        <v>0</v>
      </c>
      <c r="W99" s="58"/>
      <c r="X99" s="58"/>
      <c r="Y99" s="58"/>
      <c r="Z99" s="58"/>
    </row>
    <row r="100" spans="1:26" s="6" customFormat="1" ht="94.5" customHeight="1" x14ac:dyDescent="0.2">
      <c r="A100" s="70">
        <v>90</v>
      </c>
      <c r="B100" s="11" t="s">
        <v>286</v>
      </c>
      <c r="C100" s="12" t="s">
        <v>30</v>
      </c>
      <c r="D100" s="20" t="s">
        <v>264</v>
      </c>
      <c r="E100" s="22" t="s">
        <v>37</v>
      </c>
      <c r="F100" s="14" t="s">
        <v>46</v>
      </c>
      <c r="G100" s="5" t="s">
        <v>175</v>
      </c>
      <c r="H100" s="5" t="s">
        <v>176</v>
      </c>
      <c r="I100" s="5" t="s">
        <v>255</v>
      </c>
      <c r="J100" s="5" t="s">
        <v>238</v>
      </c>
      <c r="K100" s="5" t="s">
        <v>27</v>
      </c>
      <c r="L100" s="5" t="s">
        <v>245</v>
      </c>
      <c r="M100" s="24">
        <v>70</v>
      </c>
      <c r="N100" s="4">
        <v>8.1666666666666676E-3</v>
      </c>
      <c r="O100" s="28"/>
      <c r="P100" s="28"/>
      <c r="Q100" s="28"/>
      <c r="R100" s="28"/>
      <c r="S100" s="45">
        <f>+MAX(O100:R100)</f>
        <v>0</v>
      </c>
      <c r="T100" s="42" t="s">
        <v>248</v>
      </c>
      <c r="U100" s="17">
        <f t="shared" si="11"/>
        <v>0</v>
      </c>
      <c r="V100" s="13">
        <f t="shared" si="10"/>
        <v>0</v>
      </c>
      <c r="W100" s="58"/>
      <c r="X100" s="58"/>
      <c r="Y100" s="58"/>
      <c r="Z100" s="58"/>
    </row>
    <row r="101" spans="1:26" s="6" customFormat="1" ht="94.5" customHeight="1" x14ac:dyDescent="0.2">
      <c r="A101" s="70">
        <v>91</v>
      </c>
      <c r="B101" s="11" t="s">
        <v>286</v>
      </c>
      <c r="C101" s="12" t="s">
        <v>30</v>
      </c>
      <c r="D101" s="20" t="s">
        <v>264</v>
      </c>
      <c r="E101" s="22" t="s">
        <v>37</v>
      </c>
      <c r="F101" s="14" t="s">
        <v>46</v>
      </c>
      <c r="G101" s="5" t="s">
        <v>129</v>
      </c>
      <c r="H101" s="5" t="s">
        <v>130</v>
      </c>
      <c r="I101" s="5" t="s">
        <v>256</v>
      </c>
      <c r="J101" s="5" t="s">
        <v>219</v>
      </c>
      <c r="K101" s="5" t="s">
        <v>27</v>
      </c>
      <c r="L101" s="5" t="s">
        <v>245</v>
      </c>
      <c r="M101" s="27">
        <v>0.9</v>
      </c>
      <c r="N101" s="4">
        <v>5.2500000000000012E-3</v>
      </c>
      <c r="O101" s="29"/>
      <c r="P101" s="29"/>
      <c r="Q101" s="28"/>
      <c r="R101" s="29"/>
      <c r="S101" s="44">
        <f>+MAX(O101:R101)</f>
        <v>0</v>
      </c>
      <c r="T101" s="42" t="s">
        <v>248</v>
      </c>
      <c r="U101" s="17">
        <f t="shared" si="11"/>
        <v>0</v>
      </c>
      <c r="V101" s="13">
        <f t="shared" si="10"/>
        <v>0</v>
      </c>
      <c r="W101" s="58"/>
      <c r="X101" s="58"/>
      <c r="Y101" s="58"/>
      <c r="Z101" s="58"/>
    </row>
    <row r="102" spans="1:26" s="6" customFormat="1" ht="94.5" customHeight="1" x14ac:dyDescent="0.2">
      <c r="A102" s="70">
        <v>92</v>
      </c>
      <c r="B102" s="11" t="s">
        <v>286</v>
      </c>
      <c r="C102" s="12" t="s">
        <v>30</v>
      </c>
      <c r="D102" s="20" t="s">
        <v>264</v>
      </c>
      <c r="E102" s="22" t="s">
        <v>37</v>
      </c>
      <c r="F102" s="14" t="s">
        <v>46</v>
      </c>
      <c r="G102" s="5" t="s">
        <v>24</v>
      </c>
      <c r="H102" s="5" t="s">
        <v>25</v>
      </c>
      <c r="I102" s="5" t="s">
        <v>255</v>
      </c>
      <c r="J102" s="5" t="s">
        <v>26</v>
      </c>
      <c r="K102" s="5" t="s">
        <v>27</v>
      </c>
      <c r="L102" s="5" t="s">
        <v>245</v>
      </c>
      <c r="M102" s="24">
        <v>1</v>
      </c>
      <c r="N102" s="4">
        <v>5.8333333333333336E-3</v>
      </c>
      <c r="O102" s="29"/>
      <c r="P102" s="29"/>
      <c r="Q102" s="28"/>
      <c r="R102" s="28"/>
      <c r="S102" s="46">
        <f>SUM(O102:R102)</f>
        <v>0</v>
      </c>
      <c r="T102" s="42" t="s">
        <v>250</v>
      </c>
      <c r="U102" s="17">
        <f t="shared" si="11"/>
        <v>0</v>
      </c>
      <c r="V102" s="13">
        <f t="shared" si="10"/>
        <v>0</v>
      </c>
      <c r="W102" s="58"/>
      <c r="X102" s="58"/>
      <c r="Y102" s="58"/>
      <c r="Z102" s="58"/>
    </row>
    <row r="103" spans="1:26" s="6" customFormat="1" ht="94.5" customHeight="1" x14ac:dyDescent="0.2">
      <c r="A103" s="70">
        <v>93</v>
      </c>
      <c r="B103" s="11" t="s">
        <v>286</v>
      </c>
      <c r="C103" s="12" t="s">
        <v>30</v>
      </c>
      <c r="D103" s="20" t="s">
        <v>264</v>
      </c>
      <c r="E103" s="22" t="s">
        <v>37</v>
      </c>
      <c r="F103" s="14" t="s">
        <v>46</v>
      </c>
      <c r="G103" s="5" t="s">
        <v>24</v>
      </c>
      <c r="H103" s="5" t="s">
        <v>177</v>
      </c>
      <c r="I103" s="5" t="s">
        <v>255</v>
      </c>
      <c r="J103" s="5" t="s">
        <v>26</v>
      </c>
      <c r="K103" s="5" t="s">
        <v>27</v>
      </c>
      <c r="L103" s="5" t="s">
        <v>245</v>
      </c>
      <c r="M103" s="24">
        <v>1</v>
      </c>
      <c r="N103" s="4">
        <v>5.8333333333333336E-3</v>
      </c>
      <c r="O103" s="29"/>
      <c r="P103" s="29"/>
      <c r="Q103" s="28"/>
      <c r="R103" s="28"/>
      <c r="S103" s="46">
        <f>SUM(O103:R103)</f>
        <v>0</v>
      </c>
      <c r="T103" s="42" t="s">
        <v>250</v>
      </c>
      <c r="U103" s="17">
        <f t="shared" si="11"/>
        <v>0</v>
      </c>
      <c r="V103" s="13">
        <f t="shared" si="10"/>
        <v>0</v>
      </c>
      <c r="W103" s="58"/>
      <c r="X103" s="58"/>
      <c r="Y103" s="58"/>
      <c r="Z103" s="58"/>
    </row>
    <row r="104" spans="1:26" s="6" customFormat="1" ht="94.5" customHeight="1" x14ac:dyDescent="0.2">
      <c r="A104" s="70">
        <v>94</v>
      </c>
      <c r="B104" s="11" t="s">
        <v>286</v>
      </c>
      <c r="C104" s="12" t="s">
        <v>30</v>
      </c>
      <c r="D104" s="20" t="s">
        <v>264</v>
      </c>
      <c r="E104" s="22" t="s">
        <v>37</v>
      </c>
      <c r="F104" s="14" t="s">
        <v>46</v>
      </c>
      <c r="G104" s="5" t="s">
        <v>131</v>
      </c>
      <c r="H104" s="5" t="s">
        <v>132</v>
      </c>
      <c r="I104" s="5" t="s">
        <v>256</v>
      </c>
      <c r="J104" s="5" t="s">
        <v>220</v>
      </c>
      <c r="K104" s="5" t="s">
        <v>27</v>
      </c>
      <c r="L104" s="5" t="s">
        <v>245</v>
      </c>
      <c r="M104" s="24">
        <v>1</v>
      </c>
      <c r="N104" s="4">
        <v>3.4037500000000005E-3</v>
      </c>
      <c r="O104" s="28"/>
      <c r="P104" s="28"/>
      <c r="Q104" s="28"/>
      <c r="R104" s="28"/>
      <c r="S104" s="46">
        <f>SUM(O104:R104)</f>
        <v>0</v>
      </c>
      <c r="T104" s="42" t="s">
        <v>250</v>
      </c>
      <c r="U104" s="17">
        <f t="shared" si="11"/>
        <v>0</v>
      </c>
      <c r="V104" s="13">
        <f t="shared" si="10"/>
        <v>0</v>
      </c>
      <c r="W104" s="58"/>
      <c r="X104" s="58"/>
      <c r="Y104" s="58"/>
      <c r="Z104" s="58"/>
    </row>
    <row r="105" spans="1:26" s="6" customFormat="1" ht="94.5" customHeight="1" x14ac:dyDescent="0.2">
      <c r="A105" s="70">
        <v>95</v>
      </c>
      <c r="B105" s="11" t="s">
        <v>286</v>
      </c>
      <c r="C105" s="12" t="s">
        <v>30</v>
      </c>
      <c r="D105" s="20" t="s">
        <v>264</v>
      </c>
      <c r="E105" s="22" t="s">
        <v>37</v>
      </c>
      <c r="F105" s="14" t="s">
        <v>46</v>
      </c>
      <c r="G105" s="5" t="s">
        <v>140</v>
      </c>
      <c r="H105" s="5" t="s">
        <v>141</v>
      </c>
      <c r="I105" s="5" t="s">
        <v>256</v>
      </c>
      <c r="J105" s="5" t="s">
        <v>331</v>
      </c>
      <c r="K105" s="5" t="s">
        <v>27</v>
      </c>
      <c r="L105" s="5" t="s">
        <v>245</v>
      </c>
      <c r="M105" s="26">
        <v>0.95</v>
      </c>
      <c r="N105" s="4">
        <v>4.6666666666666671E-3</v>
      </c>
      <c r="O105" s="57">
        <f>+(0/30)*100%</f>
        <v>0</v>
      </c>
      <c r="P105" s="57">
        <f>+(0/30)*100%</f>
        <v>0</v>
      </c>
      <c r="Q105" s="57">
        <f>+(0/30)*100%</f>
        <v>0</v>
      </c>
      <c r="R105" s="57">
        <f>+(0/30)*100%</f>
        <v>0</v>
      </c>
      <c r="S105" s="44">
        <f>+SUM(O105:R105)</f>
        <v>0</v>
      </c>
      <c r="T105" s="42" t="s">
        <v>250</v>
      </c>
      <c r="U105" s="17">
        <f t="shared" si="11"/>
        <v>0</v>
      </c>
      <c r="V105" s="13">
        <f t="shared" si="10"/>
        <v>0</v>
      </c>
      <c r="W105" s="58"/>
      <c r="X105" s="58"/>
      <c r="Y105" s="58"/>
      <c r="Z105" s="58"/>
    </row>
    <row r="106" spans="1:26" s="6" customFormat="1" ht="89.25" x14ac:dyDescent="0.2">
      <c r="A106" s="70">
        <v>96</v>
      </c>
      <c r="B106" s="11" t="s">
        <v>286</v>
      </c>
      <c r="C106" s="12" t="s">
        <v>30</v>
      </c>
      <c r="D106" s="20" t="s">
        <v>264</v>
      </c>
      <c r="E106" s="22" t="s">
        <v>37</v>
      </c>
      <c r="F106" s="14" t="s">
        <v>47</v>
      </c>
      <c r="G106" s="5" t="s">
        <v>129</v>
      </c>
      <c r="H106" s="5" t="s">
        <v>130</v>
      </c>
      <c r="I106" s="5" t="s">
        <v>256</v>
      </c>
      <c r="J106" s="5" t="s">
        <v>219</v>
      </c>
      <c r="K106" s="5" t="s">
        <v>27</v>
      </c>
      <c r="L106" s="5" t="s">
        <v>245</v>
      </c>
      <c r="M106" s="27">
        <v>0.85</v>
      </c>
      <c r="N106" s="4">
        <v>5.7999999999999996E-3</v>
      </c>
      <c r="O106" s="29"/>
      <c r="P106" s="29"/>
      <c r="Q106" s="29"/>
      <c r="R106" s="35"/>
      <c r="S106" s="44">
        <f>+MAX(O106:R106)</f>
        <v>0</v>
      </c>
      <c r="T106" s="42" t="s">
        <v>248</v>
      </c>
      <c r="U106" s="17">
        <f t="shared" si="11"/>
        <v>0</v>
      </c>
      <c r="V106" s="13">
        <f t="shared" si="10"/>
        <v>0</v>
      </c>
      <c r="W106" s="58"/>
      <c r="X106" s="58"/>
      <c r="Y106" s="58"/>
      <c r="Z106" s="58"/>
    </row>
    <row r="107" spans="1:26" s="6" customFormat="1" ht="89.25" x14ac:dyDescent="0.2">
      <c r="A107" s="70">
        <v>97</v>
      </c>
      <c r="B107" s="11" t="s">
        <v>286</v>
      </c>
      <c r="C107" s="12" t="s">
        <v>30</v>
      </c>
      <c r="D107" s="20" t="s">
        <v>264</v>
      </c>
      <c r="E107" s="22" t="s">
        <v>37</v>
      </c>
      <c r="F107" s="14" t="s">
        <v>47</v>
      </c>
      <c r="G107" s="5" t="s">
        <v>131</v>
      </c>
      <c r="H107" s="5" t="s">
        <v>132</v>
      </c>
      <c r="I107" s="5" t="s">
        <v>256</v>
      </c>
      <c r="J107" s="5" t="s">
        <v>220</v>
      </c>
      <c r="K107" s="5" t="s">
        <v>27</v>
      </c>
      <c r="L107" s="5" t="s">
        <v>245</v>
      </c>
      <c r="M107" s="24">
        <v>1</v>
      </c>
      <c r="N107" s="4">
        <v>5.7999999999999996E-3</v>
      </c>
      <c r="O107" s="28"/>
      <c r="P107" s="28"/>
      <c r="Q107" s="28"/>
      <c r="R107" s="28"/>
      <c r="S107" s="46">
        <f>SUM(O107:R107)</f>
        <v>0</v>
      </c>
      <c r="T107" s="42" t="s">
        <v>250</v>
      </c>
      <c r="U107" s="17">
        <f t="shared" si="11"/>
        <v>0</v>
      </c>
      <c r="V107" s="13">
        <f t="shared" si="10"/>
        <v>0</v>
      </c>
      <c r="W107" s="58"/>
      <c r="X107" s="58"/>
      <c r="Y107" s="58"/>
      <c r="Z107" s="58"/>
    </row>
    <row r="108" spans="1:26" s="6" customFormat="1" ht="89.25" x14ac:dyDescent="0.2">
      <c r="A108" s="70">
        <v>98</v>
      </c>
      <c r="B108" s="11" t="s">
        <v>286</v>
      </c>
      <c r="C108" s="12" t="s">
        <v>30</v>
      </c>
      <c r="D108" s="20" t="s">
        <v>264</v>
      </c>
      <c r="E108" s="22" t="s">
        <v>37</v>
      </c>
      <c r="F108" s="14" t="s">
        <v>47</v>
      </c>
      <c r="G108" s="5" t="s">
        <v>349</v>
      </c>
      <c r="H108" s="5" t="s">
        <v>350</v>
      </c>
      <c r="I108" s="5" t="s">
        <v>255</v>
      </c>
      <c r="J108" s="5" t="s">
        <v>351</v>
      </c>
      <c r="K108" s="5" t="s">
        <v>27</v>
      </c>
      <c r="L108" s="5" t="s">
        <v>245</v>
      </c>
      <c r="M108" s="26">
        <v>0.9</v>
      </c>
      <c r="N108" s="4">
        <v>5.8333333333333336E-3</v>
      </c>
      <c r="O108" s="28"/>
      <c r="P108" s="28"/>
      <c r="Q108" s="28"/>
      <c r="R108" s="28"/>
      <c r="S108" s="46">
        <f>SUM(O108:R108)</f>
        <v>0</v>
      </c>
      <c r="T108" s="42" t="s">
        <v>250</v>
      </c>
      <c r="U108" s="17">
        <f t="shared" si="11"/>
        <v>0</v>
      </c>
      <c r="V108" s="13">
        <f t="shared" si="10"/>
        <v>0</v>
      </c>
      <c r="W108" s="58"/>
      <c r="X108" s="58"/>
      <c r="Y108" s="58"/>
      <c r="Z108" s="58"/>
    </row>
    <row r="109" spans="1:26" s="66" customFormat="1" ht="94.5" customHeight="1" x14ac:dyDescent="0.2">
      <c r="A109" s="70">
        <v>99</v>
      </c>
      <c r="B109" s="11" t="s">
        <v>286</v>
      </c>
      <c r="C109" s="12" t="s">
        <v>30</v>
      </c>
      <c r="D109" s="20" t="s">
        <v>264</v>
      </c>
      <c r="E109" s="22" t="s">
        <v>37</v>
      </c>
      <c r="F109" s="14" t="s">
        <v>48</v>
      </c>
      <c r="G109" s="5" t="s">
        <v>133</v>
      </c>
      <c r="H109" s="5" t="s">
        <v>134</v>
      </c>
      <c r="I109" s="5" t="s">
        <v>256</v>
      </c>
      <c r="J109" s="5" t="s">
        <v>221</v>
      </c>
      <c r="K109" s="5" t="s">
        <v>27</v>
      </c>
      <c r="L109" s="5" t="s">
        <v>246</v>
      </c>
      <c r="M109" s="26">
        <v>1</v>
      </c>
      <c r="N109" s="4">
        <v>6.0287499999999994E-3</v>
      </c>
      <c r="O109" s="34"/>
      <c r="P109" s="34"/>
      <c r="Q109" s="34"/>
      <c r="R109" s="34"/>
      <c r="S109" s="44">
        <f>+MAX(O109:R109)</f>
        <v>0</v>
      </c>
      <c r="T109" s="42" t="s">
        <v>249</v>
      </c>
      <c r="U109" s="17">
        <f t="shared" si="11"/>
        <v>0</v>
      </c>
      <c r="V109" s="13">
        <f t="shared" si="10"/>
        <v>0</v>
      </c>
      <c r="W109" s="65"/>
      <c r="X109" s="58"/>
      <c r="Y109" s="58"/>
      <c r="Z109" s="58"/>
    </row>
    <row r="110" spans="1:26" s="66" customFormat="1" ht="94.5" customHeight="1" x14ac:dyDescent="0.2">
      <c r="A110" s="70">
        <v>100</v>
      </c>
      <c r="B110" s="11" t="s">
        <v>286</v>
      </c>
      <c r="C110" s="12" t="s">
        <v>30</v>
      </c>
      <c r="D110" s="20" t="s">
        <v>264</v>
      </c>
      <c r="E110" s="22" t="s">
        <v>37</v>
      </c>
      <c r="F110" s="14" t="s">
        <v>48</v>
      </c>
      <c r="G110" s="5" t="s">
        <v>178</v>
      </c>
      <c r="H110" s="5" t="s">
        <v>179</v>
      </c>
      <c r="I110" s="5" t="s">
        <v>257</v>
      </c>
      <c r="J110" s="5" t="s">
        <v>239</v>
      </c>
      <c r="K110" s="5" t="s">
        <v>27</v>
      </c>
      <c r="L110" s="5" t="s">
        <v>246</v>
      </c>
      <c r="M110" s="26">
        <v>1</v>
      </c>
      <c r="N110" s="4">
        <v>4.6899999999999997E-3</v>
      </c>
      <c r="O110" s="34"/>
      <c r="P110" s="34"/>
      <c r="Q110" s="34"/>
      <c r="R110" s="34"/>
      <c r="S110" s="44">
        <f>+MAX(O110:R110)</f>
        <v>0</v>
      </c>
      <c r="T110" s="42" t="s">
        <v>249</v>
      </c>
      <c r="U110" s="17">
        <f t="shared" si="11"/>
        <v>0</v>
      </c>
      <c r="V110" s="13">
        <f t="shared" si="10"/>
        <v>0</v>
      </c>
      <c r="W110" s="65"/>
      <c r="X110" s="58"/>
      <c r="Y110" s="58"/>
      <c r="Z110" s="58"/>
    </row>
    <row r="111" spans="1:26" s="6" customFormat="1" ht="94.5" customHeight="1" x14ac:dyDescent="0.2">
      <c r="A111" s="70">
        <v>101</v>
      </c>
      <c r="B111" s="11" t="s">
        <v>286</v>
      </c>
      <c r="C111" s="12" t="s">
        <v>30</v>
      </c>
      <c r="D111" s="20" t="s">
        <v>264</v>
      </c>
      <c r="E111" s="22" t="s">
        <v>37</v>
      </c>
      <c r="F111" s="14" t="s">
        <v>48</v>
      </c>
      <c r="G111" s="5" t="s">
        <v>129</v>
      </c>
      <c r="H111" s="5" t="s">
        <v>130</v>
      </c>
      <c r="I111" s="5" t="s">
        <v>256</v>
      </c>
      <c r="J111" s="5" t="s">
        <v>219</v>
      </c>
      <c r="K111" s="5" t="s">
        <v>27</v>
      </c>
      <c r="L111" s="5" t="s">
        <v>245</v>
      </c>
      <c r="M111" s="27">
        <v>0.85</v>
      </c>
      <c r="N111" s="4">
        <v>5.2199999999999998E-3</v>
      </c>
      <c r="O111" s="29"/>
      <c r="P111" s="29"/>
      <c r="Q111" s="29"/>
      <c r="R111" s="29"/>
      <c r="S111" s="44">
        <f>+MAX(O111:R111)</f>
        <v>0</v>
      </c>
      <c r="T111" s="42" t="s">
        <v>248</v>
      </c>
      <c r="U111" s="17">
        <f t="shared" si="11"/>
        <v>0</v>
      </c>
      <c r="V111" s="13">
        <f t="shared" si="10"/>
        <v>0</v>
      </c>
      <c r="W111" s="65"/>
      <c r="X111" s="58"/>
      <c r="Y111" s="58"/>
      <c r="Z111" s="58"/>
    </row>
    <row r="112" spans="1:26" s="6" customFormat="1" ht="94.5" customHeight="1" x14ac:dyDescent="0.2">
      <c r="A112" s="70">
        <v>102</v>
      </c>
      <c r="B112" s="11" t="s">
        <v>286</v>
      </c>
      <c r="C112" s="12" t="s">
        <v>30</v>
      </c>
      <c r="D112" s="20" t="s">
        <v>264</v>
      </c>
      <c r="E112" s="22" t="s">
        <v>37</v>
      </c>
      <c r="F112" s="14" t="s">
        <v>48</v>
      </c>
      <c r="G112" s="5" t="s">
        <v>354</v>
      </c>
      <c r="H112" s="5" t="s">
        <v>352</v>
      </c>
      <c r="I112" s="5" t="s">
        <v>256</v>
      </c>
      <c r="J112" s="5" t="s">
        <v>353</v>
      </c>
      <c r="K112" s="5" t="s">
        <v>27</v>
      </c>
      <c r="L112" s="5" t="s">
        <v>245</v>
      </c>
      <c r="M112" s="27">
        <v>1</v>
      </c>
      <c r="N112" s="4">
        <v>8.3000000000000001E-3</v>
      </c>
      <c r="O112" s="28"/>
      <c r="P112" s="28"/>
      <c r="Q112" s="28"/>
      <c r="R112" s="28"/>
      <c r="S112" s="46">
        <f>+MAX(O112:R112)</f>
        <v>0</v>
      </c>
      <c r="T112" s="42" t="s">
        <v>248</v>
      </c>
      <c r="U112" s="17">
        <f t="shared" si="11"/>
        <v>0</v>
      </c>
      <c r="V112" s="13">
        <f t="shared" ref="V112:V115" si="12">+IF(U112&lt;=100%,U112*N112,N112)</f>
        <v>0</v>
      </c>
      <c r="W112" s="65"/>
      <c r="X112" s="58"/>
      <c r="Y112" s="58"/>
      <c r="Z112" s="58"/>
    </row>
    <row r="113" spans="1:26" s="6" customFormat="1" ht="94.5" customHeight="1" x14ac:dyDescent="0.2">
      <c r="A113" s="70">
        <v>103</v>
      </c>
      <c r="B113" s="11" t="s">
        <v>286</v>
      </c>
      <c r="C113" s="12" t="s">
        <v>30</v>
      </c>
      <c r="D113" s="20" t="s">
        <v>264</v>
      </c>
      <c r="E113" s="22" t="s">
        <v>37</v>
      </c>
      <c r="F113" s="14" t="s">
        <v>48</v>
      </c>
      <c r="G113" s="5" t="s">
        <v>131</v>
      </c>
      <c r="H113" s="5" t="s">
        <v>132</v>
      </c>
      <c r="I113" s="5" t="s">
        <v>256</v>
      </c>
      <c r="J113" s="5" t="s">
        <v>220</v>
      </c>
      <c r="K113" s="5" t="s">
        <v>27</v>
      </c>
      <c r="L113" s="5" t="s">
        <v>245</v>
      </c>
      <c r="M113" s="24">
        <v>1</v>
      </c>
      <c r="N113" s="4">
        <v>3.4099999999999998E-3</v>
      </c>
      <c r="O113" s="28"/>
      <c r="P113" s="28"/>
      <c r="Q113" s="28"/>
      <c r="R113" s="28"/>
      <c r="S113" s="46">
        <f>+MAX(O113:R113)</f>
        <v>0</v>
      </c>
      <c r="T113" s="42" t="s">
        <v>250</v>
      </c>
      <c r="U113" s="17">
        <f t="shared" si="11"/>
        <v>0</v>
      </c>
      <c r="V113" s="13">
        <f t="shared" si="12"/>
        <v>0</v>
      </c>
      <c r="W113" s="65"/>
      <c r="X113" s="58"/>
      <c r="Y113" s="58"/>
      <c r="Z113" s="58"/>
    </row>
    <row r="114" spans="1:26" s="6" customFormat="1" ht="94.5" customHeight="1" x14ac:dyDescent="0.2">
      <c r="A114" s="70">
        <v>104</v>
      </c>
      <c r="B114" s="11" t="s">
        <v>286</v>
      </c>
      <c r="C114" s="12" t="s">
        <v>30</v>
      </c>
      <c r="D114" s="20" t="s">
        <v>264</v>
      </c>
      <c r="E114" s="22" t="s">
        <v>37</v>
      </c>
      <c r="F114" s="14" t="s">
        <v>48</v>
      </c>
      <c r="G114" s="5" t="s">
        <v>180</v>
      </c>
      <c r="H114" s="5" t="s">
        <v>181</v>
      </c>
      <c r="I114" s="5" t="s">
        <v>256</v>
      </c>
      <c r="J114" s="5" t="s">
        <v>240</v>
      </c>
      <c r="K114" s="5" t="s">
        <v>27</v>
      </c>
      <c r="L114" s="5" t="s">
        <v>246</v>
      </c>
      <c r="M114" s="26">
        <v>1</v>
      </c>
      <c r="N114" s="4">
        <v>5.0000000000000001E-3</v>
      </c>
      <c r="O114" s="34"/>
      <c r="P114" s="34"/>
      <c r="Q114" s="34"/>
      <c r="R114" s="34"/>
      <c r="S114" s="44">
        <f>+R114</f>
        <v>0</v>
      </c>
      <c r="T114" s="42" t="s">
        <v>251</v>
      </c>
      <c r="U114" s="17">
        <f t="shared" si="11"/>
        <v>0</v>
      </c>
      <c r="V114" s="13">
        <f t="shared" si="12"/>
        <v>0</v>
      </c>
      <c r="W114" s="65"/>
      <c r="X114" s="58"/>
      <c r="Y114" s="58"/>
      <c r="Z114" s="58"/>
    </row>
    <row r="115" spans="1:26" s="6" customFormat="1" ht="94.5" customHeight="1" x14ac:dyDescent="0.2">
      <c r="A115" s="70">
        <v>105</v>
      </c>
      <c r="B115" s="11" t="s">
        <v>286</v>
      </c>
      <c r="C115" s="12" t="s">
        <v>30</v>
      </c>
      <c r="D115" s="20" t="s">
        <v>264</v>
      </c>
      <c r="E115" s="22" t="s">
        <v>37</v>
      </c>
      <c r="F115" s="14" t="s">
        <v>48</v>
      </c>
      <c r="G115" s="5" t="s">
        <v>180</v>
      </c>
      <c r="H115" s="5" t="s">
        <v>182</v>
      </c>
      <c r="I115" s="5" t="s">
        <v>256</v>
      </c>
      <c r="J115" s="5" t="s">
        <v>241</v>
      </c>
      <c r="K115" s="5" t="s">
        <v>27</v>
      </c>
      <c r="L115" s="5" t="s">
        <v>245</v>
      </c>
      <c r="M115" s="24">
        <v>12</v>
      </c>
      <c r="N115" s="4">
        <v>5.0000000000000001E-3</v>
      </c>
      <c r="O115" s="28"/>
      <c r="P115" s="28"/>
      <c r="Q115" s="28"/>
      <c r="R115" s="28"/>
      <c r="S115" s="46">
        <f>SUM(O115:R115)</f>
        <v>0</v>
      </c>
      <c r="T115" s="42" t="s">
        <v>250</v>
      </c>
      <c r="U115" s="17">
        <f t="shared" si="11"/>
        <v>0</v>
      </c>
      <c r="V115" s="13">
        <f t="shared" si="12"/>
        <v>0</v>
      </c>
      <c r="W115" s="65"/>
      <c r="X115" s="58"/>
      <c r="Y115" s="58"/>
      <c r="Z115" s="58"/>
    </row>
    <row r="116" spans="1:26" ht="36" x14ac:dyDescent="0.2">
      <c r="Z116" s="7" t="s">
        <v>28</v>
      </c>
    </row>
    <row r="118" spans="1:26" x14ac:dyDescent="0.2">
      <c r="O118" s="54"/>
      <c r="P118" s="54"/>
      <c r="Q118" s="54"/>
      <c r="R118" s="54"/>
      <c r="S118" s="8"/>
      <c r="T118" s="8"/>
    </row>
    <row r="124" spans="1:26" x14ac:dyDescent="0.2">
      <c r="O124" s="130">
        <f>+N98-O98</f>
        <v>5.0000000000000001E-3</v>
      </c>
    </row>
    <row r="141" spans="4:5" x14ac:dyDescent="0.2">
      <c r="D141" s="9"/>
      <c r="E141" s="9"/>
    </row>
    <row r="143" spans="4:5" x14ac:dyDescent="0.2">
      <c r="D143" s="10"/>
      <c r="E143" s="10"/>
    </row>
  </sheetData>
  <autoFilter ref="A9:Z116"/>
  <mergeCells count="9">
    <mergeCell ref="A8:N8"/>
    <mergeCell ref="O8:V8"/>
    <mergeCell ref="W8:Z8"/>
    <mergeCell ref="A7:Z7"/>
    <mergeCell ref="A1:D3"/>
    <mergeCell ref="E1:Z3"/>
    <mergeCell ref="A4:Z4"/>
    <mergeCell ref="A5:Z5"/>
    <mergeCell ref="A6:Z6"/>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33"/>
  <sheetViews>
    <sheetView workbookViewId="0">
      <selection activeCell="B35" sqref="B35"/>
    </sheetView>
  </sheetViews>
  <sheetFormatPr baseColWidth="10" defaultColWidth="11.42578125" defaultRowHeight="15" x14ac:dyDescent="0.25"/>
  <cols>
    <col min="1" max="1" width="26.28515625" style="77" customWidth="1"/>
    <col min="2" max="2" width="24.140625" style="78" customWidth="1"/>
    <col min="3" max="3" width="34.140625" style="78" customWidth="1"/>
    <col min="4" max="16384" width="11.42578125" style="77"/>
  </cols>
  <sheetData>
    <row r="1" spans="1:4" ht="15" customHeight="1" x14ac:dyDescent="0.25">
      <c r="A1" s="125" t="s">
        <v>289</v>
      </c>
      <c r="B1" s="125"/>
      <c r="C1" s="125"/>
      <c r="D1" s="125"/>
    </row>
    <row r="2" spans="1:4" ht="15" customHeight="1" x14ac:dyDescent="0.25">
      <c r="A2" s="125"/>
      <c r="B2" s="125"/>
      <c r="C2" s="125"/>
      <c r="D2" s="125"/>
    </row>
    <row r="4" spans="1:4" x14ac:dyDescent="0.25">
      <c r="A4" s="124" t="s">
        <v>287</v>
      </c>
      <c r="B4" s="124"/>
      <c r="C4" s="124"/>
      <c r="D4" s="124"/>
    </row>
    <row r="5" spans="1:4" s="79" customFormat="1" x14ac:dyDescent="0.25">
      <c r="A5" s="79" t="s">
        <v>292</v>
      </c>
      <c r="B5" s="80" t="s">
        <v>291</v>
      </c>
      <c r="C5" s="80" t="s">
        <v>295</v>
      </c>
      <c r="D5" s="79" t="s">
        <v>296</v>
      </c>
    </row>
    <row r="6" spans="1:4" x14ac:dyDescent="0.25">
      <c r="A6" s="77" t="s">
        <v>288</v>
      </c>
      <c r="B6" s="78">
        <v>13300000000</v>
      </c>
      <c r="C6" s="78">
        <v>1300000000</v>
      </c>
      <c r="D6" s="81">
        <f>+C6/B6</f>
        <v>9.7744360902255634E-2</v>
      </c>
    </row>
    <row r="7" spans="1:4" x14ac:dyDescent="0.25">
      <c r="A7" s="77" t="s">
        <v>290</v>
      </c>
      <c r="B7" s="78">
        <v>500000000</v>
      </c>
      <c r="C7" s="78">
        <v>500000000</v>
      </c>
      <c r="D7" s="81">
        <f>+C7/B7</f>
        <v>1</v>
      </c>
    </row>
    <row r="9" spans="1:4" x14ac:dyDescent="0.25">
      <c r="A9" s="124" t="s">
        <v>294</v>
      </c>
      <c r="B9" s="124"/>
      <c r="C9" s="124"/>
      <c r="D9" s="124"/>
    </row>
    <row r="10" spans="1:4" x14ac:dyDescent="0.25">
      <c r="A10" s="79" t="s">
        <v>292</v>
      </c>
      <c r="B10" s="80" t="s">
        <v>291</v>
      </c>
      <c r="C10" s="80" t="s">
        <v>293</v>
      </c>
      <c r="D10" s="79" t="s">
        <v>296</v>
      </c>
    </row>
    <row r="11" spans="1:4" x14ac:dyDescent="0.25">
      <c r="A11" s="77" t="s">
        <v>294</v>
      </c>
      <c r="B11" s="78">
        <v>12400000000</v>
      </c>
      <c r="C11" s="78">
        <v>1240000000</v>
      </c>
      <c r="D11" s="81">
        <f>+C11/B11</f>
        <v>0.1</v>
      </c>
    </row>
    <row r="12" spans="1:4" x14ac:dyDescent="0.25">
      <c r="A12" s="77" t="s">
        <v>297</v>
      </c>
      <c r="B12" s="78">
        <v>900000000</v>
      </c>
      <c r="C12" s="78">
        <v>270000000</v>
      </c>
      <c r="D12" s="81">
        <f>+C12/B12</f>
        <v>0.3</v>
      </c>
    </row>
    <row r="14" spans="1:4" x14ac:dyDescent="0.25">
      <c r="A14" s="124" t="s">
        <v>298</v>
      </c>
      <c r="B14" s="124"/>
      <c r="C14" s="124"/>
      <c r="D14" s="124"/>
    </row>
    <row r="15" spans="1:4" x14ac:dyDescent="0.25">
      <c r="A15" s="79" t="s">
        <v>292</v>
      </c>
      <c r="B15" s="80" t="s">
        <v>291</v>
      </c>
      <c r="C15" s="80" t="s">
        <v>293</v>
      </c>
      <c r="D15" s="79" t="s">
        <v>296</v>
      </c>
    </row>
    <row r="16" spans="1:4" x14ac:dyDescent="0.25">
      <c r="A16" s="77" t="s">
        <v>299</v>
      </c>
      <c r="B16" s="78">
        <v>8930000000</v>
      </c>
      <c r="C16" s="78">
        <v>2679000000</v>
      </c>
      <c r="D16" s="81">
        <f>+C16/B16</f>
        <v>0.3</v>
      </c>
    </row>
    <row r="17" spans="1:5" x14ac:dyDescent="0.25">
      <c r="A17" s="77" t="s">
        <v>300</v>
      </c>
      <c r="B17" s="78">
        <v>600000000</v>
      </c>
      <c r="C17" s="78">
        <v>600000000</v>
      </c>
      <c r="D17" s="81">
        <f>+C17/B17</f>
        <v>1</v>
      </c>
      <c r="E17" s="77" t="s">
        <v>301</v>
      </c>
    </row>
    <row r="22" spans="1:5" x14ac:dyDescent="0.25">
      <c r="B22" s="78">
        <f>+B6+B7+B11+B12+B16+B17</f>
        <v>36630000000</v>
      </c>
      <c r="C22" s="78">
        <f>+C6+C7+C11+C12+C16+C17</f>
        <v>6589000000</v>
      </c>
      <c r="D22" s="81">
        <f>+C22/B22</f>
        <v>0.17987987987987988</v>
      </c>
    </row>
    <row r="25" spans="1:5" x14ac:dyDescent="0.25">
      <c r="B25" s="77"/>
      <c r="C25" s="77"/>
    </row>
    <row r="26" spans="1:5" x14ac:dyDescent="0.25">
      <c r="B26" s="77"/>
      <c r="C26" s="77"/>
    </row>
    <row r="28" spans="1:5" x14ac:dyDescent="0.25">
      <c r="B28" s="77"/>
      <c r="C28" s="77"/>
    </row>
    <row r="29" spans="1:5" x14ac:dyDescent="0.25">
      <c r="B29" s="77"/>
      <c r="C29" s="77"/>
    </row>
    <row r="30" spans="1:5" x14ac:dyDescent="0.25">
      <c r="B30" s="77"/>
      <c r="C30" s="77"/>
    </row>
    <row r="31" spans="1:5" x14ac:dyDescent="0.25">
      <c r="B31" s="77"/>
      <c r="C31" s="77"/>
    </row>
    <row r="32" spans="1:5" x14ac:dyDescent="0.25">
      <c r="B32" s="77"/>
      <c r="C32" s="77"/>
    </row>
    <row r="33" s="77" customFormat="1" x14ac:dyDescent="0.25"/>
  </sheetData>
  <mergeCells count="4">
    <mergeCell ref="A14:D14"/>
    <mergeCell ref="A4:D4"/>
    <mergeCell ref="A1:D2"/>
    <mergeCell ref="A9:D9"/>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16"/>
  <sheetViews>
    <sheetView workbookViewId="0">
      <selection activeCell="B30" sqref="B30"/>
    </sheetView>
  </sheetViews>
  <sheetFormatPr baseColWidth="10" defaultColWidth="11.42578125" defaultRowHeight="15" x14ac:dyDescent="0.25"/>
  <cols>
    <col min="1" max="1" width="32.85546875" style="77" customWidth="1"/>
    <col min="2" max="2" width="15.42578125" style="77" customWidth="1"/>
    <col min="3" max="3" width="15.28515625" style="77" customWidth="1"/>
    <col min="4" max="4" width="17.85546875" style="77" customWidth="1"/>
    <col min="5" max="5" width="13.85546875" style="77" customWidth="1"/>
    <col min="6" max="8" width="11.42578125" style="77"/>
    <col min="9" max="9" width="13.42578125" style="77" customWidth="1"/>
    <col min="10" max="10" width="11.42578125" style="77"/>
    <col min="11" max="11" width="13.28515625" style="77" customWidth="1"/>
    <col min="12" max="12" width="15.7109375" style="77" customWidth="1"/>
    <col min="13" max="16384" width="11.42578125" style="77"/>
  </cols>
  <sheetData>
    <row r="2" spans="1:13" ht="21.75" customHeight="1" x14ac:dyDescent="0.25">
      <c r="A2" s="127" t="s">
        <v>309</v>
      </c>
      <c r="B2" s="128"/>
      <c r="C2" s="128"/>
      <c r="D2" s="128"/>
      <c r="E2" s="128"/>
      <c r="F2" s="128"/>
      <c r="G2" s="128"/>
      <c r="H2" s="128"/>
      <c r="I2" s="128"/>
      <c r="J2" s="128"/>
      <c r="K2" s="128"/>
      <c r="L2" s="128"/>
      <c r="M2" s="129"/>
    </row>
    <row r="3" spans="1:13" x14ac:dyDescent="0.25">
      <c r="A3" s="82"/>
      <c r="B3" s="126" t="s">
        <v>304</v>
      </c>
      <c r="C3" s="126"/>
      <c r="D3" s="126"/>
      <c r="E3" s="126" t="s">
        <v>305</v>
      </c>
      <c r="F3" s="126"/>
      <c r="G3" s="126"/>
      <c r="H3" s="126" t="s">
        <v>306</v>
      </c>
      <c r="I3" s="126"/>
      <c r="J3" s="126"/>
      <c r="K3" s="126" t="s">
        <v>307</v>
      </c>
      <c r="L3" s="126"/>
      <c r="M3" s="126"/>
    </row>
    <row r="4" spans="1:13" s="84" customFormat="1" ht="30" x14ac:dyDescent="0.25">
      <c r="A4" s="61"/>
      <c r="B4" s="87" t="s">
        <v>310</v>
      </c>
      <c r="C4" s="87" t="s">
        <v>303</v>
      </c>
      <c r="D4" s="86" t="s">
        <v>296</v>
      </c>
      <c r="E4" s="87" t="s">
        <v>310</v>
      </c>
      <c r="F4" s="87" t="s">
        <v>303</v>
      </c>
      <c r="G4" s="86" t="s">
        <v>296</v>
      </c>
      <c r="H4" s="86" t="s">
        <v>302</v>
      </c>
      <c r="I4" s="87" t="s">
        <v>310</v>
      </c>
      <c r="J4" s="86" t="s">
        <v>296</v>
      </c>
      <c r="K4" s="87" t="s">
        <v>310</v>
      </c>
      <c r="L4" s="87" t="s">
        <v>303</v>
      </c>
      <c r="M4" s="86" t="s">
        <v>296</v>
      </c>
    </row>
    <row r="5" spans="1:13" x14ac:dyDescent="0.25">
      <c r="A5" s="82"/>
      <c r="B5" s="83">
        <v>0</v>
      </c>
      <c r="C5" s="83">
        <v>0</v>
      </c>
      <c r="D5" s="85" t="e">
        <f>+C5/B5</f>
        <v>#DIV/0!</v>
      </c>
      <c r="E5" s="83"/>
      <c r="F5" s="82"/>
      <c r="G5" s="85" t="e">
        <f>+F5/E5</f>
        <v>#DIV/0!</v>
      </c>
      <c r="H5" s="82"/>
      <c r="I5" s="82"/>
      <c r="J5" s="85" t="e">
        <f>+I5/H5</f>
        <v>#DIV/0!</v>
      </c>
      <c r="K5" s="82"/>
      <c r="L5" s="82"/>
      <c r="M5" s="85" t="e">
        <f>+L5/K5</f>
        <v>#DIV/0!</v>
      </c>
    </row>
    <row r="6" spans="1:13" x14ac:dyDescent="0.25">
      <c r="A6" s="82" t="s">
        <v>308</v>
      </c>
      <c r="B6" s="83">
        <v>0</v>
      </c>
      <c r="C6" s="83">
        <v>0</v>
      </c>
      <c r="D6" s="85" t="e">
        <f t="shared" ref="D6:D11" si="0">+C6/B6</f>
        <v>#DIV/0!</v>
      </c>
      <c r="E6" s="83"/>
      <c r="F6" s="82"/>
      <c r="G6" s="85" t="e">
        <f t="shared" ref="G6:G11" si="1">+F6/E6</f>
        <v>#DIV/0!</v>
      </c>
      <c r="H6" s="82"/>
      <c r="I6" s="82"/>
      <c r="J6" s="85" t="e">
        <f t="shared" ref="J6:J11" si="2">+I6/H6</f>
        <v>#DIV/0!</v>
      </c>
      <c r="K6" s="82"/>
      <c r="L6" s="82"/>
      <c r="M6" s="85" t="e">
        <f t="shared" ref="M6:M11" si="3">+L6/K6</f>
        <v>#DIV/0!</v>
      </c>
    </row>
    <row r="7" spans="1:13" x14ac:dyDescent="0.25">
      <c r="A7" s="82" t="s">
        <v>290</v>
      </c>
      <c r="B7" s="83">
        <v>0</v>
      </c>
      <c r="C7" s="83">
        <v>0</v>
      </c>
      <c r="D7" s="85" t="e">
        <f t="shared" si="0"/>
        <v>#DIV/0!</v>
      </c>
      <c r="E7" s="83"/>
      <c r="F7" s="82"/>
      <c r="G7" s="85" t="e">
        <f t="shared" si="1"/>
        <v>#DIV/0!</v>
      </c>
      <c r="H7" s="82"/>
      <c r="I7" s="82"/>
      <c r="J7" s="85" t="e">
        <f t="shared" si="2"/>
        <v>#DIV/0!</v>
      </c>
      <c r="K7" s="82"/>
      <c r="L7" s="82"/>
      <c r="M7" s="85" t="e">
        <f t="shared" si="3"/>
        <v>#DIV/0!</v>
      </c>
    </row>
    <row r="8" spans="1:13" x14ac:dyDescent="0.25">
      <c r="A8" s="82" t="s">
        <v>294</v>
      </c>
      <c r="B8" s="83">
        <v>0</v>
      </c>
      <c r="C8" s="83">
        <v>0</v>
      </c>
      <c r="D8" s="85" t="e">
        <f t="shared" si="0"/>
        <v>#DIV/0!</v>
      </c>
      <c r="E8" s="83"/>
      <c r="F8" s="82"/>
      <c r="G8" s="85" t="e">
        <f t="shared" si="1"/>
        <v>#DIV/0!</v>
      </c>
      <c r="H8" s="82"/>
      <c r="I8" s="82"/>
      <c r="J8" s="85" t="e">
        <f t="shared" si="2"/>
        <v>#DIV/0!</v>
      </c>
      <c r="K8" s="82"/>
      <c r="L8" s="82"/>
      <c r="M8" s="85" t="e">
        <f t="shared" si="3"/>
        <v>#DIV/0!</v>
      </c>
    </row>
    <row r="9" spans="1:13" x14ac:dyDescent="0.25">
      <c r="A9" s="82" t="s">
        <v>297</v>
      </c>
      <c r="B9" s="83">
        <v>0</v>
      </c>
      <c r="C9" s="83">
        <v>0</v>
      </c>
      <c r="D9" s="85" t="e">
        <f t="shared" si="0"/>
        <v>#DIV/0!</v>
      </c>
      <c r="E9" s="83"/>
      <c r="F9" s="82"/>
      <c r="G9" s="85" t="e">
        <f t="shared" si="1"/>
        <v>#DIV/0!</v>
      </c>
      <c r="H9" s="82"/>
      <c r="I9" s="82"/>
      <c r="J9" s="85" t="e">
        <f t="shared" si="2"/>
        <v>#DIV/0!</v>
      </c>
      <c r="K9" s="82"/>
      <c r="L9" s="82"/>
      <c r="M9" s="85" t="e">
        <f t="shared" si="3"/>
        <v>#DIV/0!</v>
      </c>
    </row>
    <row r="10" spans="1:13" x14ac:dyDescent="0.25">
      <c r="A10" s="82" t="s">
        <v>299</v>
      </c>
      <c r="B10" s="83">
        <v>0</v>
      </c>
      <c r="C10" s="83">
        <v>0</v>
      </c>
      <c r="D10" s="85" t="e">
        <f t="shared" si="0"/>
        <v>#DIV/0!</v>
      </c>
      <c r="E10" s="83"/>
      <c r="F10" s="82"/>
      <c r="G10" s="85" t="e">
        <f t="shared" si="1"/>
        <v>#DIV/0!</v>
      </c>
      <c r="H10" s="82"/>
      <c r="I10" s="82"/>
      <c r="J10" s="85" t="e">
        <f t="shared" si="2"/>
        <v>#DIV/0!</v>
      </c>
      <c r="K10" s="82"/>
      <c r="L10" s="82"/>
      <c r="M10" s="85" t="e">
        <f t="shared" si="3"/>
        <v>#DIV/0!</v>
      </c>
    </row>
    <row r="11" spans="1:13" x14ac:dyDescent="0.25">
      <c r="A11" s="82" t="s">
        <v>300</v>
      </c>
      <c r="B11" s="83">
        <v>0</v>
      </c>
      <c r="C11" s="83">
        <v>0</v>
      </c>
      <c r="D11" s="85" t="e">
        <f t="shared" si="0"/>
        <v>#DIV/0!</v>
      </c>
      <c r="E11" s="83"/>
      <c r="F11" s="82"/>
      <c r="G11" s="85" t="e">
        <f t="shared" si="1"/>
        <v>#DIV/0!</v>
      </c>
      <c r="H11" s="82"/>
      <c r="I11" s="82"/>
      <c r="J11" s="85" t="e">
        <f t="shared" si="2"/>
        <v>#DIV/0!</v>
      </c>
      <c r="K11" s="82"/>
      <c r="L11" s="82"/>
      <c r="M11" s="85" t="e">
        <f t="shared" si="3"/>
        <v>#DIV/0!</v>
      </c>
    </row>
    <row r="16" spans="1:13" ht="38.25" x14ac:dyDescent="0.25">
      <c r="C16" s="76" t="s">
        <v>218</v>
      </c>
    </row>
  </sheetData>
  <mergeCells count="5">
    <mergeCell ref="B3:D3"/>
    <mergeCell ref="E3:G3"/>
    <mergeCell ref="H3:J3"/>
    <mergeCell ref="K3:M3"/>
    <mergeCell ref="A2:M2"/>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workbookViewId="0">
      <selection activeCell="C4" sqref="C4"/>
    </sheetView>
  </sheetViews>
  <sheetFormatPr baseColWidth="10" defaultRowHeight="15" x14ac:dyDescent="0.25"/>
  <cols>
    <col min="1" max="1" width="82.85546875" customWidth="1"/>
    <col min="2" max="2" width="22.5703125" style="38" bestFit="1" customWidth="1"/>
    <col min="3" max="3" width="33.28515625" style="38" bestFit="1" customWidth="1"/>
  </cols>
  <sheetData>
    <row r="1" spans="1:7" ht="21" x14ac:dyDescent="0.25">
      <c r="B1" s="37" t="s">
        <v>270</v>
      </c>
      <c r="C1" s="37" t="s">
        <v>357</v>
      </c>
    </row>
    <row r="2" spans="1:7" x14ac:dyDescent="0.25">
      <c r="A2" t="s">
        <v>271</v>
      </c>
      <c r="F2" t="s">
        <v>274</v>
      </c>
      <c r="G2" s="21" t="e">
        <f>+SUM(Telemedellín!V10:V115)</f>
        <v>#DIV/0!</v>
      </c>
    </row>
    <row r="3" spans="1:7" x14ac:dyDescent="0.25">
      <c r="A3" s="18" t="s">
        <v>258</v>
      </c>
      <c r="B3" s="56" t="s">
        <v>266</v>
      </c>
      <c r="C3" t="s">
        <v>276</v>
      </c>
      <c r="F3" t="s">
        <v>275</v>
      </c>
      <c r="G3" s="21" t="e">
        <f>1-G2</f>
        <v>#DIV/0!</v>
      </c>
    </row>
    <row r="4" spans="1:7" x14ac:dyDescent="0.25">
      <c r="A4" s="19" t="s">
        <v>260</v>
      </c>
      <c r="B4" s="55">
        <v>4.69375E-2</v>
      </c>
      <c r="C4" s="55">
        <v>6.6434863105924603E-3</v>
      </c>
      <c r="D4" s="36"/>
    </row>
    <row r="5" spans="1:7" x14ac:dyDescent="0.25">
      <c r="A5" s="19" t="s">
        <v>261</v>
      </c>
      <c r="B5" s="55">
        <v>8.1000000000000016E-2</v>
      </c>
      <c r="C5" s="55">
        <v>3.8503888888888893E-2</v>
      </c>
      <c r="D5" s="36"/>
    </row>
    <row r="6" spans="1:7" x14ac:dyDescent="0.25">
      <c r="A6" s="19" t="s">
        <v>262</v>
      </c>
      <c r="B6" s="55">
        <v>0.43300000000000016</v>
      </c>
      <c r="C6" s="55">
        <v>8.8636003623878565E-2</v>
      </c>
      <c r="D6" s="36"/>
    </row>
    <row r="7" spans="1:7" x14ac:dyDescent="0.25">
      <c r="A7" s="19" t="s">
        <v>263</v>
      </c>
      <c r="B7" s="55">
        <v>0.11575000000000002</v>
      </c>
      <c r="C7" s="55">
        <v>2.8730669255260247E-2</v>
      </c>
      <c r="D7" s="36"/>
    </row>
    <row r="8" spans="1:7" x14ac:dyDescent="0.25">
      <c r="A8" s="19" t="s">
        <v>264</v>
      </c>
      <c r="B8" s="55">
        <v>0.2456725000000001</v>
      </c>
      <c r="C8" s="55">
        <v>6.8185321102819246E-2</v>
      </c>
      <c r="D8" s="36"/>
    </row>
    <row r="9" spans="1:7" x14ac:dyDescent="0.25">
      <c r="A9" s="19" t="s">
        <v>265</v>
      </c>
      <c r="B9" s="55">
        <v>6.6445833333333315E-2</v>
      </c>
      <c r="C9" s="55">
        <v>1.7368671105778073E-2</v>
      </c>
      <c r="D9" s="36"/>
    </row>
    <row r="10" spans="1:7" x14ac:dyDescent="0.25">
      <c r="A10" s="19" t="s">
        <v>259</v>
      </c>
      <c r="B10" s="55">
        <v>0.98880583333333361</v>
      </c>
      <c r="C10" s="55">
        <v>0.24806804028721749</v>
      </c>
      <c r="D10" s="36"/>
    </row>
    <row r="13" spans="1:7" x14ac:dyDescent="0.25">
      <c r="A13" s="19" t="s">
        <v>272</v>
      </c>
    </row>
    <row r="14" spans="1:7" x14ac:dyDescent="0.25">
      <c r="A14" s="18" t="s">
        <v>258</v>
      </c>
      <c r="B14" s="56" t="s">
        <v>266</v>
      </c>
      <c r="C14" t="s">
        <v>276</v>
      </c>
    </row>
    <row r="15" spans="1:7" x14ac:dyDescent="0.25">
      <c r="A15" s="19" t="s">
        <v>32</v>
      </c>
      <c r="B15" s="55">
        <v>0.1235</v>
      </c>
      <c r="C15" s="55">
        <v>1.7533146222222223E-2</v>
      </c>
    </row>
    <row r="16" spans="1:7" x14ac:dyDescent="0.25">
      <c r="A16" s="19" t="s">
        <v>33</v>
      </c>
      <c r="B16" s="55">
        <v>7.4479166666666666E-2</v>
      </c>
      <c r="C16" s="55">
        <v>5.9220506250000004E-3</v>
      </c>
    </row>
    <row r="17" spans="1:4" x14ac:dyDescent="0.25">
      <c r="A17" s="19" t="s">
        <v>36</v>
      </c>
      <c r="B17" s="55">
        <v>8.1000000000000016E-2</v>
      </c>
      <c r="C17" s="55">
        <v>3.8503888888888893E-2</v>
      </c>
    </row>
    <row r="18" spans="1:4" x14ac:dyDescent="0.25">
      <c r="A18" s="19" t="s">
        <v>37</v>
      </c>
      <c r="B18" s="55">
        <v>0.35424333333333313</v>
      </c>
      <c r="C18" s="55">
        <v>9.1832386227523113E-2</v>
      </c>
    </row>
    <row r="19" spans="1:4" x14ac:dyDescent="0.25">
      <c r="A19" s="19" t="s">
        <v>35</v>
      </c>
      <c r="B19" s="55">
        <v>6.5000000000000002E-2</v>
      </c>
      <c r="C19" s="55">
        <v>5.4166666666666677E-3</v>
      </c>
    </row>
    <row r="20" spans="1:4" x14ac:dyDescent="0.25">
      <c r="A20" s="19" t="s">
        <v>34</v>
      </c>
      <c r="B20" s="55">
        <v>8.9749999999999996E-2</v>
      </c>
      <c r="C20" s="55">
        <v>1.3416978779069768E-2</v>
      </c>
    </row>
    <row r="21" spans="1:4" x14ac:dyDescent="0.25">
      <c r="A21" s="19" t="s">
        <v>31</v>
      </c>
      <c r="B21" s="55">
        <v>0.20083333333333336</v>
      </c>
      <c r="C21" s="55">
        <v>7.5442922877846791E-2</v>
      </c>
    </row>
    <row r="22" spans="1:4" x14ac:dyDescent="0.25">
      <c r="A22" s="19" t="s">
        <v>259</v>
      </c>
      <c r="B22" s="55">
        <v>0.98880583333333316</v>
      </c>
      <c r="C22" s="55">
        <v>0.24806804028721749</v>
      </c>
    </row>
    <row r="25" spans="1:4" x14ac:dyDescent="0.25">
      <c r="A25" s="18" t="s">
        <v>258</v>
      </c>
      <c r="B25" s="56" t="s">
        <v>266</v>
      </c>
      <c r="C25" t="s">
        <v>276</v>
      </c>
    </row>
    <row r="26" spans="1:4" x14ac:dyDescent="0.25">
      <c r="A26" s="19" t="s">
        <v>44</v>
      </c>
      <c r="B26" s="92">
        <v>7.8749999999999973E-2</v>
      </c>
      <c r="C26" s="92">
        <v>1.4495245480778072E-2</v>
      </c>
      <c r="D26" s="93">
        <f>+GETPIVOTDATA("Suma de Total alcanzado ponderado",$A$25,"RESPONSABLE","Agencia TM")/GETPIVOTDATA("Suma de PONDERACIÓN",$A$25,"RESPONSABLE","Agencia TM")</f>
        <v>0.18406660927972163</v>
      </c>
    </row>
    <row r="27" spans="1:4" x14ac:dyDescent="0.25">
      <c r="A27" s="19" t="s">
        <v>45</v>
      </c>
      <c r="B27" s="92">
        <v>2.794166666666667E-2</v>
      </c>
      <c r="C27" s="92">
        <v>8.3708333333333343E-3</v>
      </c>
      <c r="D27" s="93">
        <f>+GETPIVOTDATA("Suma de Total alcanzado ponderado",$A$25,"RESPONSABLE","Control Interno")/GETPIVOTDATA("Suma de PONDERACIÓN",$A$25,"RESPONSABLE","Control Interno")</f>
        <v>0.29958246346555323</v>
      </c>
    </row>
    <row r="28" spans="1:4" x14ac:dyDescent="0.25">
      <c r="A28" s="19" t="s">
        <v>42</v>
      </c>
      <c r="B28" s="92">
        <v>9.3212500000000004E-2</v>
      </c>
      <c r="C28" s="92">
        <v>8.0224601911894743E-3</v>
      </c>
      <c r="D28" s="93">
        <f>+GETPIVOTDATA("Suma de Total alcanzado ponderado",$A$25,"RESPONSABLE","Dirección Administrativa y Financiera")/GETPIVOTDATA("Suma de PONDERACIÓN",$A$25,"RESPONSABLE","Dirección Administrativa y Financiera")</f>
        <v>8.606635581268042E-2</v>
      </c>
    </row>
    <row r="29" spans="1:4" x14ac:dyDescent="0.25">
      <c r="A29" s="19" t="s">
        <v>38</v>
      </c>
      <c r="B29" s="92">
        <v>0.26307500000000006</v>
      </c>
      <c r="C29" s="92">
        <v>8.4184589544513452E-2</v>
      </c>
      <c r="D29" s="93">
        <f>+GETPIVOTDATA("Suma de Total alcanzado ponderado",$A$25,"RESPONSABLE","Dirección de Contenidos y Distribución")/GETPIVOTDATA("Suma de PONDERACIÓN",$A$25,"RESPONSABLE","Dirección de Contenidos y Distribución")</f>
        <v>0.32000224097505819</v>
      </c>
    </row>
    <row r="30" spans="1:4" x14ac:dyDescent="0.25">
      <c r="A30" s="19" t="s">
        <v>39</v>
      </c>
      <c r="B30" s="92">
        <v>0.1235</v>
      </c>
      <c r="C30" s="92">
        <v>1.7533146222222223E-2</v>
      </c>
      <c r="D30" s="93">
        <f>+GETPIVOTDATA("Suma de Total alcanzado ponderado",$A$25,"RESPONSABLE","Dirección de Contenidos y Distribución (Digital)")/GETPIVOTDATA("Suma de PONDERACIÓN",$A$25,"RESPONSABLE","Dirección de Contenidos y Distribución (Digital)")</f>
        <v>0.14196879532163742</v>
      </c>
    </row>
    <row r="31" spans="1:4" x14ac:dyDescent="0.25">
      <c r="A31" s="19" t="s">
        <v>40</v>
      </c>
      <c r="B31" s="92">
        <v>0.10767083333333334</v>
      </c>
      <c r="C31" s="92">
        <v>2.3842050625000007E-2</v>
      </c>
      <c r="D31" s="93">
        <f>+GETPIVOTDATA("Suma de Total alcanzado ponderado",$A$25,"RESPONSABLE","Dirección de Relaciones Corporativas")/GETPIVOTDATA("Suma de PONDERACIÓN",$A$25,"RESPONSABLE","Dirección de Relaciones Corporativas")</f>
        <v>0.22143462520800283</v>
      </c>
    </row>
    <row r="32" spans="1:4" x14ac:dyDescent="0.25">
      <c r="A32" s="19" t="s">
        <v>41</v>
      </c>
      <c r="B32" s="92">
        <v>0.11244166666666666</v>
      </c>
      <c r="C32" s="92">
        <v>1.8229478779069771E-2</v>
      </c>
      <c r="D32" s="93">
        <f>+GETPIVOTDATA("Suma de Total alcanzado ponderado",$A$25,"RESPONSABLE","Dirección de Tecnología e Innovación")/GETPIVOTDATA("Suma de PONDERACIÓN",$A$25,"RESPONSABLE","Dirección de Tecnología e Innovación")</f>
        <v>0.16212387560130234</v>
      </c>
    </row>
    <row r="33" spans="1:4" x14ac:dyDescent="0.25">
      <c r="A33" s="19" t="s">
        <v>43</v>
      </c>
      <c r="B33" s="92">
        <v>9.1599166666666676E-2</v>
      </c>
      <c r="C33" s="92">
        <v>4.0040097222222223E-2</v>
      </c>
      <c r="D33" s="93">
        <f>+GETPIVOTDATA("Suma de Total alcanzado ponderado",$A$25,"RESPONSABLE","Jefatura de Gestión Humana")/GETPIVOTDATA("Suma de PONDERACIÓN",$A$25,"RESPONSABLE","Jefatura de Gestión Humana")</f>
        <v>0.43712294204520297</v>
      </c>
    </row>
    <row r="34" spans="1:4" x14ac:dyDescent="0.25">
      <c r="A34" s="19" t="s">
        <v>46</v>
      </c>
      <c r="B34" s="92">
        <v>3.9278750000000001E-2</v>
      </c>
      <c r="C34" s="92">
        <v>4.0843055555555563E-3</v>
      </c>
      <c r="D34" s="93">
        <f>+GETPIVOTDATA("Suma de Total alcanzado ponderado",$A$25,"RESPONSABLE","Planeación")/GETPIVOTDATA("Suma de PONDERACIÓN",$A$25,"RESPONSABLE","Planeación")</f>
        <v>0.10398257468874535</v>
      </c>
    </row>
    <row r="35" spans="1:4" x14ac:dyDescent="0.25">
      <c r="A35" s="19" t="s">
        <v>47</v>
      </c>
      <c r="B35" s="92">
        <v>1.4487083333333334E-2</v>
      </c>
      <c r="C35" s="92">
        <v>9.2370833333333333E-3</v>
      </c>
      <c r="D35" s="93">
        <f>+GETPIVOTDATA("Suma de Total alcanzado ponderado",$A$25,"RESPONSABLE","Producción")/GETPIVOTDATA("Suma de PONDERACIÓN",$A$25,"RESPONSABLE","Producción")</f>
        <v>0.63760821421381109</v>
      </c>
    </row>
    <row r="36" spans="1:4" x14ac:dyDescent="0.25">
      <c r="A36" s="19" t="s">
        <v>48</v>
      </c>
      <c r="B36" s="92">
        <v>3.6849166666666669E-2</v>
      </c>
      <c r="C36" s="92">
        <v>2.0028750000000001E-2</v>
      </c>
      <c r="D36" s="93">
        <f>+GETPIVOTDATA("Suma de Total alcanzado ponderado",$A$25,"RESPONSABLE","Secretaría General")/GETPIVOTDATA("Suma de PONDERACIÓN",$A$25,"RESPONSABLE","Secretaría General")</f>
        <v>0.54353332277980049</v>
      </c>
    </row>
    <row r="37" spans="1:4" x14ac:dyDescent="0.25">
      <c r="A37" s="19" t="s">
        <v>259</v>
      </c>
      <c r="B37" s="55">
        <v>0.98880583333333349</v>
      </c>
      <c r="C37" s="55">
        <v>0.24806804028721743</v>
      </c>
    </row>
  </sheetData>
  <pageMargins left="0.7" right="0.7" top="0.75" bottom="0.7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Telemedellín</vt:lpstr>
      <vt:lpstr>Hoja1</vt:lpstr>
      <vt:lpstr>Utilidades</vt:lpstr>
      <vt:lpstr>Tablas 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Rico</dc:creator>
  <cp:lastModifiedBy>Juan Morales</cp:lastModifiedBy>
  <dcterms:created xsi:type="dcterms:W3CDTF">2024-09-24T14:41:59Z</dcterms:created>
  <dcterms:modified xsi:type="dcterms:W3CDTF">2026-02-27T20:37:46Z</dcterms:modified>
</cp:coreProperties>
</file>