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30" tabRatio="518" activeTab="1"/>
  </bookViews>
  <sheets>
    <sheet name="Plan de desarrollo" sheetId="5" r:id="rId1"/>
    <sheet name="Objetivos Estratégicos" sheetId="4" r:id="rId2"/>
    <sheet name="Gerencia" sheetId="1" r:id="rId3"/>
    <sheet name="Planeación" sheetId="6" r:id="rId4"/>
    <sheet name="G. Programación" sheetId="34" r:id="rId5"/>
    <sheet name="G. Producción" sheetId="29" r:id="rId6"/>
    <sheet name="G. Agencia y Central." sheetId="33" r:id="rId7"/>
    <sheet name="G. Técnica." sheetId="23" r:id="rId8"/>
    <sheet name="G. Humana" sheetId="28" r:id="rId9"/>
    <sheet name="G. Jurídica" sheetId="25" r:id="rId10"/>
    <sheet name="G. Adtiva y Fra" sheetId="24" r:id="rId11"/>
    <sheet name="G. Comunicaciones" sheetId="35" r:id="rId12"/>
    <sheet name="G. Control Interno" sheetId="22" r:id="rId13"/>
  </sheets>
  <definedNames>
    <definedName name="_xlnm._FilterDatabase" localSheetId="4" hidden="1">'G. Programación'!$A$10:$AG$44</definedName>
    <definedName name="_xlnm.Print_Area" localSheetId="1">'Objetivos Estratégicos'!$A$1:$D$9</definedName>
  </definedNames>
  <calcPr calcId="162913"/>
</workbook>
</file>

<file path=xl/calcChain.xml><?xml version="1.0" encoding="utf-8"?>
<calcChain xmlns="http://schemas.openxmlformats.org/spreadsheetml/2006/main">
  <c r="A12" i="33" l="1"/>
  <c r="B12" i="33"/>
  <c r="F12" i="33"/>
  <c r="F18" i="33"/>
  <c r="C12" i="33"/>
  <c r="C47" i="34"/>
  <c r="C16" i="23"/>
  <c r="C17" i="23"/>
  <c r="S14" i="33"/>
  <c r="T14" i="33"/>
  <c r="U14" i="33" s="1"/>
  <c r="C24" i="33"/>
  <c r="C25" i="33"/>
  <c r="S13" i="33"/>
  <c r="T13" i="33" s="1"/>
  <c r="U13" i="33" s="1"/>
  <c r="S11" i="33"/>
  <c r="T11" i="33"/>
  <c r="U11" i="33" s="1"/>
  <c r="F14" i="34"/>
  <c r="C14" i="34"/>
  <c r="F38" i="34"/>
  <c r="C38" i="34"/>
  <c r="F36" i="34"/>
  <c r="C36" i="34"/>
  <c r="F30" i="34"/>
  <c r="C30" i="34"/>
  <c r="F27" i="34"/>
  <c r="C27" i="34"/>
  <c r="F23" i="34"/>
  <c r="C23" i="34"/>
  <c r="F20" i="34"/>
  <c r="C20" i="34"/>
  <c r="F12" i="34"/>
  <c r="C12" i="34"/>
  <c r="C48" i="34"/>
  <c r="AA37" i="34"/>
  <c r="AB37" i="34"/>
  <c r="AC37" i="34" s="1"/>
  <c r="AA39" i="34"/>
  <c r="AB39" i="34"/>
  <c r="AA40" i="34"/>
  <c r="AB40" i="34"/>
  <c r="AA41" i="34"/>
  <c r="AB41" i="34"/>
  <c r="AA42" i="34"/>
  <c r="AB42" i="34"/>
  <c r="AA43" i="34"/>
  <c r="AB43" i="34"/>
  <c r="S11" i="1"/>
  <c r="T11" i="1"/>
  <c r="U11" i="1"/>
  <c r="C16" i="1"/>
  <c r="C17" i="1"/>
  <c r="U11" i="22"/>
  <c r="C15" i="22"/>
  <c r="AA16" i="24"/>
  <c r="AB16" i="24"/>
  <c r="AC16" i="24" s="1"/>
  <c r="AA17" i="24"/>
  <c r="AB17" i="24"/>
  <c r="AA18" i="24"/>
  <c r="AB18" i="24"/>
  <c r="AA19" i="24"/>
  <c r="AB19" i="24"/>
  <c r="AA15" i="24"/>
  <c r="AB15" i="24" s="1"/>
  <c r="AC15" i="24" s="1"/>
  <c r="C23" i="24"/>
  <c r="C20" i="25"/>
  <c r="C19" i="29"/>
  <c r="AA35" i="34"/>
  <c r="AB35" i="34" s="1"/>
  <c r="AC35" i="34" s="1"/>
  <c r="AA23" i="34"/>
  <c r="AB23" i="34" s="1"/>
  <c r="AA24" i="34"/>
  <c r="AB24" i="34" s="1"/>
  <c r="AA25" i="34"/>
  <c r="AB25" i="34" s="1"/>
  <c r="AA11" i="34"/>
  <c r="AB11" i="34"/>
  <c r="AC11" i="34" s="1"/>
  <c r="C21" i="6"/>
  <c r="AA29" i="34"/>
  <c r="AA32" i="34"/>
  <c r="AA34" i="34"/>
  <c r="AA30" i="34"/>
  <c r="AA31" i="34"/>
  <c r="S20" i="35"/>
  <c r="S14" i="35"/>
  <c r="S18" i="33"/>
  <c r="C14" i="22"/>
  <c r="S11" i="22"/>
  <c r="T11" i="22"/>
  <c r="U12" i="22"/>
  <c r="D21" i="4"/>
  <c r="F11" i="22"/>
  <c r="C11" i="22"/>
  <c r="B11" i="22"/>
  <c r="S36" i="35"/>
  <c r="T36" i="35"/>
  <c r="S35" i="35"/>
  <c r="T35" i="35"/>
  <c r="F34" i="35"/>
  <c r="C34" i="35"/>
  <c r="C7" i="4"/>
  <c r="B34" i="35"/>
  <c r="S33" i="35"/>
  <c r="T33" i="35" s="1"/>
  <c r="U33" i="35" s="1"/>
  <c r="S32" i="35"/>
  <c r="T32" i="35"/>
  <c r="S31" i="35"/>
  <c r="T31" i="35" s="1"/>
  <c r="S30" i="35"/>
  <c r="T30" i="35"/>
  <c r="S29" i="35"/>
  <c r="T29" i="35" s="1"/>
  <c r="F28" i="35"/>
  <c r="C28" i="35"/>
  <c r="C5" i="4"/>
  <c r="B28" i="35"/>
  <c r="A28" i="35"/>
  <c r="A34" i="35"/>
  <c r="S27" i="35"/>
  <c r="T27" i="35" s="1"/>
  <c r="S26" i="35"/>
  <c r="T26" i="35"/>
  <c r="S25" i="35"/>
  <c r="T25" i="35" s="1"/>
  <c r="S24" i="35"/>
  <c r="T24" i="35"/>
  <c r="S23" i="35"/>
  <c r="T23" i="35" s="1"/>
  <c r="F22" i="35"/>
  <c r="C22" i="35"/>
  <c r="C4" i="4"/>
  <c r="B22" i="35"/>
  <c r="A22" i="35"/>
  <c r="S21" i="35"/>
  <c r="T21" i="35"/>
  <c r="T20" i="35"/>
  <c r="S19" i="35"/>
  <c r="T19" i="35"/>
  <c r="S18" i="35"/>
  <c r="T18" i="35" s="1"/>
  <c r="U16" i="35" s="1"/>
  <c r="F17" i="35"/>
  <c r="C17" i="35"/>
  <c r="B17" i="35"/>
  <c r="A17" i="35"/>
  <c r="S16" i="35"/>
  <c r="T16" i="35"/>
  <c r="S15" i="35"/>
  <c r="T15" i="35" s="1"/>
  <c r="T14" i="35"/>
  <c r="S13" i="35"/>
  <c r="T13" i="35"/>
  <c r="F12" i="35"/>
  <c r="C12" i="35"/>
  <c r="B12" i="35"/>
  <c r="A12" i="35"/>
  <c r="S11" i="35"/>
  <c r="T11" i="35"/>
  <c r="V6" i="35"/>
  <c r="V5" i="35"/>
  <c r="C22" i="24"/>
  <c r="F19" i="24"/>
  <c r="F18" i="24"/>
  <c r="C18" i="24"/>
  <c r="B18" i="24"/>
  <c r="F17" i="24"/>
  <c r="F16" i="24"/>
  <c r="C16" i="24"/>
  <c r="B16" i="24"/>
  <c r="F14" i="24"/>
  <c r="C14" i="24"/>
  <c r="B14" i="24"/>
  <c r="A14" i="24"/>
  <c r="AA13" i="24"/>
  <c r="AB13" i="24" s="1"/>
  <c r="C12" i="24"/>
  <c r="B12" i="24"/>
  <c r="AA11" i="24"/>
  <c r="AB11" i="24" s="1"/>
  <c r="AC11" i="24" s="1"/>
  <c r="N11" i="24"/>
  <c r="AD6" i="24"/>
  <c r="S16" i="25"/>
  <c r="T16" i="25"/>
  <c r="U16" i="25" s="1"/>
  <c r="S15" i="25"/>
  <c r="T15" i="25" s="1"/>
  <c r="U15" i="25" s="1"/>
  <c r="F15" i="25"/>
  <c r="S14" i="25"/>
  <c r="T14" i="25" s="1"/>
  <c r="U14" i="25" s="1"/>
  <c r="S13" i="25"/>
  <c r="T13" i="25"/>
  <c r="U13" i="25" s="1"/>
  <c r="S12" i="25"/>
  <c r="T12" i="25" s="1"/>
  <c r="U12" i="25" s="1"/>
  <c r="F12" i="25"/>
  <c r="C12" i="25"/>
  <c r="A12" i="25"/>
  <c r="F20" i="28"/>
  <c r="C20" i="28" s="1"/>
  <c r="A20" i="28"/>
  <c r="S19" i="28"/>
  <c r="T19" i="28" s="1"/>
  <c r="F18" i="28"/>
  <c r="C18" i="28"/>
  <c r="B18" i="28"/>
  <c r="S17" i="28"/>
  <c r="T17" i="28" s="1"/>
  <c r="S15" i="28"/>
  <c r="T15" i="28"/>
  <c r="S14" i="28"/>
  <c r="T14" i="28" s="1"/>
  <c r="F14" i="28"/>
  <c r="S13" i="28"/>
  <c r="T13" i="28"/>
  <c r="F13" i="28"/>
  <c r="F12" i="28"/>
  <c r="C12" i="28" s="1"/>
  <c r="B12" i="28"/>
  <c r="A12" i="28"/>
  <c r="A16" i="28"/>
  <c r="A18" i="28"/>
  <c r="S11" i="28"/>
  <c r="T11" i="28" s="1"/>
  <c r="V6" i="28"/>
  <c r="V5" i="28"/>
  <c r="S11" i="23"/>
  <c r="T11" i="23"/>
  <c r="U11" i="23"/>
  <c r="S13" i="23"/>
  <c r="T13" i="23"/>
  <c r="U13" i="23"/>
  <c r="F13" i="23"/>
  <c r="F12" i="23"/>
  <c r="C12" i="23"/>
  <c r="T18" i="33"/>
  <c r="U18" i="33"/>
  <c r="S17" i="33"/>
  <c r="T17" i="33"/>
  <c r="U17" i="33"/>
  <c r="S16" i="33"/>
  <c r="T16" i="33" s="1"/>
  <c r="U16" i="33" s="1"/>
  <c r="S15" i="33"/>
  <c r="T15" i="33"/>
  <c r="U15" i="33" s="1"/>
  <c r="C18" i="29"/>
  <c r="AA13" i="29"/>
  <c r="AB13" i="29" s="1"/>
  <c r="AA11" i="29"/>
  <c r="AB11" i="29" s="1"/>
  <c r="AA15" i="29"/>
  <c r="AB15" i="29" s="1"/>
  <c r="F15" i="29"/>
  <c r="C15" i="29"/>
  <c r="F13" i="29"/>
  <c r="F11" i="29"/>
  <c r="C11" i="29"/>
  <c r="B11" i="29"/>
  <c r="A11" i="29"/>
  <c r="B38" i="34"/>
  <c r="B36" i="34"/>
  <c r="AB34" i="34"/>
  <c r="AA33" i="34"/>
  <c r="AB33" i="34" s="1"/>
  <c r="AB32" i="34"/>
  <c r="AC30" i="34" s="1"/>
  <c r="AB31" i="34"/>
  <c r="AB30" i="34"/>
  <c r="AB29" i="34"/>
  <c r="AA28" i="34"/>
  <c r="AB28" i="34" s="1"/>
  <c r="B27" i="34"/>
  <c r="AA26" i="34"/>
  <c r="AB26" i="34"/>
  <c r="AA22" i="34"/>
  <c r="AB22" i="34" s="1"/>
  <c r="AA21" i="34"/>
  <c r="AB21" i="34" s="1"/>
  <c r="B20" i="34"/>
  <c r="AA19" i="34"/>
  <c r="AB19" i="34"/>
  <c r="AA18" i="34"/>
  <c r="AB18" i="34"/>
  <c r="AA17" i="34"/>
  <c r="AB17" i="34" s="1"/>
  <c r="AC17" i="34" s="1"/>
  <c r="B17" i="34"/>
  <c r="AA16" i="34"/>
  <c r="AB16" i="34" s="1"/>
  <c r="AA15" i="34"/>
  <c r="AB15" i="34" s="1"/>
  <c r="AA13" i="34"/>
  <c r="AB13" i="34" s="1"/>
  <c r="AD6" i="34"/>
  <c r="C20" i="6"/>
  <c r="S17" i="6"/>
  <c r="T17" i="6" s="1"/>
  <c r="U17" i="6" s="1"/>
  <c r="S16" i="6"/>
  <c r="T16" i="6" s="1"/>
  <c r="U16" i="6" s="1"/>
  <c r="S15" i="6"/>
  <c r="T15" i="6"/>
  <c r="U15" i="6" s="1"/>
  <c r="S14" i="6"/>
  <c r="T14" i="6"/>
  <c r="U14" i="6"/>
  <c r="S13" i="6"/>
  <c r="T13" i="6" s="1"/>
  <c r="U13" i="6" s="1"/>
  <c r="F12" i="6"/>
  <c r="C12" i="6"/>
  <c r="B12" i="6"/>
  <c r="A12" i="6"/>
  <c r="S11" i="6"/>
  <c r="T11" i="6" s="1"/>
  <c r="S13" i="1"/>
  <c r="T13" i="1"/>
  <c r="U13" i="1" s="1"/>
  <c r="F13" i="1"/>
  <c r="C13" i="1"/>
  <c r="B13" i="1"/>
  <c r="F12" i="1"/>
  <c r="C12" i="1"/>
  <c r="B12" i="1"/>
  <c r="A12" i="1"/>
  <c r="C6" i="4"/>
  <c r="C3" i="4"/>
  <c r="C39" i="35"/>
  <c r="C40" i="35"/>
  <c r="C19" i="25"/>
  <c r="U14" i="23"/>
  <c r="D14" i="4" s="1"/>
  <c r="U27" i="35" l="1"/>
  <c r="U11" i="35"/>
  <c r="U37" i="35" s="1"/>
  <c r="D22" i="4" s="1"/>
  <c r="U21" i="35"/>
  <c r="AC13" i="24"/>
  <c r="AC20" i="24" s="1"/>
  <c r="D19" i="4" s="1"/>
  <c r="D6" i="4"/>
  <c r="AD5" i="24"/>
  <c r="U19" i="33"/>
  <c r="D17" i="4" s="1"/>
  <c r="AC13" i="34"/>
  <c r="AD5" i="34"/>
  <c r="AC26" i="34"/>
  <c r="AC19" i="34"/>
  <c r="AC44" i="34"/>
  <c r="D23" i="4" s="1"/>
  <c r="AC23" i="34"/>
  <c r="D3" i="4"/>
  <c r="D4" i="4"/>
  <c r="D7" i="4"/>
  <c r="U11" i="6"/>
  <c r="U18" i="6" s="1"/>
  <c r="D20" i="4" s="1"/>
  <c r="U14" i="1"/>
  <c r="D13" i="4" s="1"/>
  <c r="U17" i="25"/>
  <c r="D15" i="4" s="1"/>
  <c r="AC11" i="29"/>
  <c r="AD5" i="29"/>
  <c r="AC15" i="29"/>
  <c r="AD6" i="29"/>
  <c r="D5" i="4"/>
  <c r="C23" i="28"/>
  <c r="C24" i="28" s="1"/>
  <c r="U13" i="28" s="1"/>
  <c r="C8" i="4"/>
  <c r="C9" i="4" s="1"/>
  <c r="U17" i="28"/>
  <c r="D8" i="4"/>
  <c r="AC16" i="29" l="1"/>
  <c r="D18" i="4" s="1"/>
  <c r="D9" i="4"/>
  <c r="U19" i="28"/>
  <c r="U14" i="28"/>
  <c r="U11" i="28"/>
  <c r="U15" i="28"/>
  <c r="U21" i="28" l="1"/>
  <c r="D16" i="4" s="1"/>
</calcChain>
</file>

<file path=xl/sharedStrings.xml><?xml version="1.0" encoding="utf-8"?>
<sst xmlns="http://schemas.openxmlformats.org/spreadsheetml/2006/main" count="1020" uniqueCount="426">
  <si>
    <t>ELABORACIÓN Y SEGUIMIENTO DEL PLAN DE ACCIÓN</t>
  </si>
  <si>
    <t>PROCESO: Gerencia</t>
  </si>
  <si>
    <t>FORMULACIÓN</t>
  </si>
  <si>
    <t>SEGUIMIENTO</t>
  </si>
  <si>
    <t>ANÁLISIS</t>
  </si>
  <si>
    <t>PONDERACIÓN</t>
  </si>
  <si>
    <t>ACTIVIDADES</t>
  </si>
  <si>
    <t>RESPONSABLE</t>
  </si>
  <si>
    <t>METAS</t>
  </si>
  <si>
    <t>Ponderación parcial</t>
  </si>
  <si>
    <t>Total ponderado</t>
  </si>
  <si>
    <t>Análisis marzo</t>
  </si>
  <si>
    <t>Análisis junio</t>
  </si>
  <si>
    <t>Análisis septiembre</t>
  </si>
  <si>
    <t>Análisis diciembre</t>
  </si>
  <si>
    <t>Gerente</t>
  </si>
  <si>
    <t>EVALUACIÓN TOTAL DEL SEGUIMIENTO</t>
  </si>
  <si>
    <t xml:space="preserve">Elevar la capacidad de innovación, calidad técnica y audio visual en la producción, programación y distribución de los contenidos a través de las distintas plataformas. </t>
  </si>
  <si>
    <t>PLANEACIÓN ESTRATÉGICA TELEMEDELLÍN</t>
  </si>
  <si>
    <t>#</t>
  </si>
  <si>
    <t xml:space="preserve">Administrar y optimizar eficientemente los recursos financieros acorde con las expectativas de los asociados. </t>
  </si>
  <si>
    <t xml:space="preserve">Incrementar el nivel de eficiencia y eficacia operativa y administrativa en la gestión y ejecución de los procesos. </t>
  </si>
  <si>
    <t xml:space="preserve">Aumentar el nivel de desempeño individual y colectivo, mediante el desarrollo de competencias. </t>
  </si>
  <si>
    <t>TOTAL</t>
  </si>
  <si>
    <t xml:space="preserve">Elevar el nivel de competitividad y posicionamiento del Canal como plataforma de contenidos formativos, Informativos y culturales. </t>
  </si>
  <si>
    <t>PROGRAMA</t>
  </si>
  <si>
    <t>PROCESO: Planeación Estratégica</t>
  </si>
  <si>
    <t>Efectividad en la proyección y soporte administrativo.</t>
  </si>
  <si>
    <t>PROCESO: Gestión Técnica</t>
  </si>
  <si>
    <t>Director Técnico</t>
  </si>
  <si>
    <t xml:space="preserve">Garantizar la calidad y tiempo  de la señal de aire y en satélite. </t>
  </si>
  <si>
    <t>Horas</t>
  </si>
  <si>
    <t>PROCESO: Evaluación y Control</t>
  </si>
  <si>
    <t>Jefe de Control Interno</t>
  </si>
  <si>
    <t>Trimestral</t>
  </si>
  <si>
    <t>Fórmula</t>
  </si>
  <si>
    <t>Efectividad</t>
  </si>
  <si>
    <t>Proyección y soporte administrativo.</t>
  </si>
  <si>
    <t>Gestión</t>
  </si>
  <si>
    <t>Eficiencia</t>
  </si>
  <si>
    <t>PROCESO: GESTIÓN JURÍDICA</t>
  </si>
  <si>
    <t>Garantizar el proceso contractual en sus diferentes etapas con sujeción a la ley y a los principios de transparencia</t>
  </si>
  <si>
    <t>Secretaria General</t>
  </si>
  <si>
    <t>Elaboración de pliegos</t>
  </si>
  <si>
    <t>Emitir conceptos jurídicos confiables y oportunos</t>
  </si>
  <si>
    <t>INDICADORES</t>
  </si>
  <si>
    <t>Objetivo del indicador</t>
  </si>
  <si>
    <t>Nombre indicador</t>
  </si>
  <si>
    <t>Control de contratos</t>
  </si>
  <si>
    <t>Ejecución comité de contratación</t>
  </si>
  <si>
    <t>Responder eficientemente a la elaboración de pliegos solicitada por la dirección de Telemedellín</t>
  </si>
  <si>
    <t>Mide</t>
  </si>
  <si>
    <t>Periodicidad</t>
  </si>
  <si>
    <t>Eficacia</t>
  </si>
  <si>
    <t>Mensual</t>
  </si>
  <si>
    <t>Responder eficazmente a las demandas interpuestas a Telemedellín</t>
  </si>
  <si>
    <t>Meta</t>
  </si>
  <si>
    <t># de derechos de petición y tutelas respondidas a tiempo / # derechos de petición y tutelas presentadas</t>
  </si>
  <si>
    <t>Responder eficazmente a las derechos de petición y tutelas interpuestas a Telemedellín</t>
  </si>
  <si>
    <t>Respuesta de derechos de petición y tutelas</t>
  </si>
  <si>
    <t>Respuesta de demandas</t>
  </si>
  <si>
    <t>SEGUIMIENTO 2014</t>
  </si>
  <si>
    <t xml:space="preserve">Asegurar franjas competitivas y programas ancla que soporten la propuesta de valor.
</t>
  </si>
  <si>
    <t>Señal Satelital</t>
  </si>
  <si>
    <t>PROCESO: Gestión Producción</t>
  </si>
  <si>
    <t>Meta
Anual</t>
  </si>
  <si>
    <t>Horas mensuales de programación</t>
  </si>
  <si>
    <t>Director de Programación</t>
  </si>
  <si>
    <t>Anual</t>
  </si>
  <si>
    <t>Director de Producción</t>
  </si>
  <si>
    <t>Medir la producción del Canal  con base en la capacidad instalada existente de horas cámaras.</t>
  </si>
  <si>
    <t>Medir la operación de la postproducción del Canal con base en la capacidad instalada existente de horas edición.</t>
  </si>
  <si>
    <t># Horas de cámara ejecutadas / Capacidad instalada total de cámaras</t>
  </si>
  <si>
    <t># Horas de edición ejecutadas / Capacidad instalada total de edición</t>
  </si>
  <si>
    <t>A través de la capacidad operativa de las horas cámaras se evaluará la ejecución de la producción del Canal.</t>
  </si>
  <si>
    <t>A través de la capacidad operativa de las horas edición se evaluará la ejecución de la postproducción del Canal.</t>
  </si>
  <si>
    <t>Celebrar contrataciones con terceros con el objeto de producir productos audiovisuales.</t>
  </si>
  <si>
    <t>Calcular los ingresos por concepto de la producción a terceros.</t>
  </si>
  <si>
    <t>Ingresos por producción</t>
  </si>
  <si>
    <t>Valor ingresos por servicios prestados / Valor ingresos presupuestados</t>
  </si>
  <si>
    <t>PROCESO: Gestión Comunicaciones y Mercadeo</t>
  </si>
  <si>
    <t>Directora de mercadeo
Profesionales de comunicación</t>
  </si>
  <si>
    <t>Meta anual</t>
  </si>
  <si>
    <t>Semestral</t>
  </si>
  <si>
    <t>PROCESO: Gestión Administrativa y financiera</t>
  </si>
  <si>
    <t>Medir el porcentaje de ejecución presupuestal de ingresos</t>
  </si>
  <si>
    <t>Medir el porcentaje de ejecución presupuestal de  egresos</t>
  </si>
  <si>
    <t>Medir la participación de terceros en el activo total</t>
  </si>
  <si>
    <t xml:space="preserve">Ejecución presupuestal de ingresos </t>
  </si>
  <si>
    <t>Ejecución presupuestal de egresos</t>
  </si>
  <si>
    <t>Liquidez</t>
  </si>
  <si>
    <t>Endeudamiento</t>
  </si>
  <si>
    <t>Activo Corriente / Pasivo Corriente</t>
  </si>
  <si>
    <t>Pasivo Total / Activo Total</t>
  </si>
  <si>
    <t>Seguimiento al cumplimiento de los planes de acción</t>
  </si>
  <si>
    <t>Contratos que cumplen requisitos de legalización  /  Contratos revisados</t>
  </si>
  <si>
    <t>Atender y tramitar los diferentes contratos que se originen en la operación del Canal.</t>
  </si>
  <si>
    <t xml:space="preserve"># Actas de comité de contratación elaboradas / # de comités de contratación realizados </t>
  </si>
  <si>
    <t># de solicitudes de procesos de selección solicitados / # De pliegos elaborados</t>
  </si>
  <si>
    <t># de procedimientos atendidos a tiempo / # Demandas interpuestas</t>
  </si>
  <si>
    <t>PROCESO: Gestión Humana</t>
  </si>
  <si>
    <t>Presupuesto ejecutado / Presupuesto Aprobado</t>
  </si>
  <si>
    <t>Director Administrativo y Financiero</t>
  </si>
  <si>
    <t>Operación capacidad instalada de producción</t>
  </si>
  <si>
    <t>Operación capacidad instalada de Postproducción</t>
  </si>
  <si>
    <t xml:space="preserve">Meta
</t>
  </si>
  <si>
    <t>Análisis Marzo</t>
  </si>
  <si>
    <t>Análisis Junio</t>
  </si>
  <si>
    <t>PROCESO: Gestión Programación y Distribución</t>
  </si>
  <si>
    <t>Análisis Septiembre</t>
  </si>
  <si>
    <t>Análisis Diciembre</t>
  </si>
  <si>
    <t>RESPONSABLE: Gerente</t>
  </si>
  <si>
    <t>RESPONSABLE: Director Producción</t>
  </si>
  <si>
    <t>RESPONSABLE: Director Programación y Distribución</t>
  </si>
  <si>
    <t xml:space="preserve">RESPONSABLE: Jefe control interno </t>
  </si>
  <si>
    <t>RESPONSABLE: Director Técnico</t>
  </si>
  <si>
    <t>RESPONSABLE: Director Administrativo y Financiero</t>
  </si>
  <si>
    <t>RESPONSABLE: Directora Comunicaciones y Mercadeo</t>
  </si>
  <si>
    <t>RESPONSABLE: SECRETARIA GENERAL</t>
  </si>
  <si>
    <t>Anticorrupción</t>
  </si>
  <si>
    <t>Cumplimiento de los indicadores del plan anticorrupción</t>
  </si>
  <si>
    <t>Cumplimiento de los indicadores en la rendición de cuentas y Ley de transparencia</t>
  </si>
  <si>
    <t>Evaluación de indicadores</t>
  </si>
  <si>
    <t>Rendición de Cuentas y Ley de Transparencia</t>
  </si>
  <si>
    <t>RESPONSABLE: Jefe de Gestión Humana.</t>
  </si>
  <si>
    <t>&gt;1.25</t>
  </si>
  <si>
    <t>&lt;=30%</t>
  </si>
  <si>
    <t>PLAN DE DESARROLLO ALCALDÍA DE MEDELLÍN 2016-2019
RELACIÓN TELEMEDELLÍN</t>
  </si>
  <si>
    <t>DIMENSIÓN 1: Creemos en la cultura ciudadana</t>
  </si>
  <si>
    <t>RETO</t>
  </si>
  <si>
    <t>Reto 1.3: Medellín bien administrada</t>
  </si>
  <si>
    <t>PROCESO: Gestión Agencia y Central de Medios</t>
  </si>
  <si>
    <t>Director de Agencia y Central de Medios</t>
  </si>
  <si>
    <t>RESPONSABLE: Director Agencia y Central de Medios</t>
  </si>
  <si>
    <t>Cumplimiento en el desarrollo del plan de trabajo de la OCI</t>
  </si>
  <si>
    <t>Actividades Programadas/actividades Terminadas</t>
  </si>
  <si>
    <t>4.1. Creemos en la Cultura Ciudadana</t>
  </si>
  <si>
    <t>DIMENSIÓN PLAN DE DESARROLLO ALCALDÍA DE MEDELLÍN</t>
  </si>
  <si>
    <t>RESPONSABLE: Dirección de Planeación</t>
  </si>
  <si>
    <t xml:space="preserve"> </t>
  </si>
  <si>
    <t>OBJETIVOS ESTRATÉGICOS TELEMEDELLÍN 2016 - 2019</t>
  </si>
  <si>
    <t>DIMENSIÓN</t>
  </si>
  <si>
    <t>Horas programas comunicación pública</t>
  </si>
  <si>
    <t xml:space="preserve">Evaluar crecimiento en televidentes
Definir y proyectar crecimiento futuro
Desarrollar estrategia y crecimiento en Rating.
</t>
  </si>
  <si>
    <t>Canales más vistos en los últimos 30 días</t>
  </si>
  <si>
    <t>Número de personas que vieron el canal en los últimos 30 días</t>
  </si>
  <si>
    <t>Canales más vistos el día de ayer</t>
  </si>
  <si>
    <t>Número de personas que vieron el canal el día de ayer</t>
  </si>
  <si>
    <t>Ranking últimos 30 días</t>
  </si>
  <si>
    <t>Posición en ranking de los canales más vistos en los últimos 30 días</t>
  </si>
  <si>
    <t>Ranking día de ayer</t>
  </si>
  <si>
    <t>Posición en ranking de los canales más vistos el día de ayer</t>
  </si>
  <si>
    <t>Estar entre los 10 canales más visto en los últimos  30 días en la tercera ola del EGM</t>
  </si>
  <si>
    <t>DIMENSIÓN TRANSVERSAL: FOMENTAMOS LA CULTURA CIUDADANA</t>
  </si>
  <si>
    <t xml:space="preserve">Emitir horas de Programas de comunicación pública </t>
  </si>
  <si>
    <t>Nominaciones a premios</t>
  </si>
  <si>
    <t>Nominaciones a premios comunicación pública</t>
  </si>
  <si>
    <t xml:space="preserve">Nominaciones a premios en programas de comunicación pública </t>
  </si>
  <si>
    <t>DIMENSIÓN 2: ENTREGAMOS INFORMACIÓN ÚTIL</t>
  </si>
  <si>
    <t>DIMENSIÓN 1: IMPULSAMOS LA COMUNICACIÓN PÚBLICA</t>
  </si>
  <si>
    <t>Horas programas información</t>
  </si>
  <si>
    <t xml:space="preserve">Emitir horas de Programas de información </t>
  </si>
  <si>
    <t>Nominaciones a premios información</t>
  </si>
  <si>
    <t xml:space="preserve">Nominaciones a premios en programas de información </t>
  </si>
  <si>
    <t>Realización de propuestas comerciales de producción a las diferentes secretarias y entes descentralizados de la alcaldía de Medellín.
Celebrar convenios y coordinar la facturación de los contratos logrados con las diferentes secretarias y entes descentralizados de la Alcaldía de Medellín.</t>
  </si>
  <si>
    <t>Horas vendidas en programas de comunicación pública</t>
  </si>
  <si>
    <t xml:space="preserve">Horas vendidas comunicación pública / Horas emitidas comunicación pública </t>
  </si>
  <si>
    <t>Venta de horas programas de comunicación pública</t>
  </si>
  <si>
    <t>Margen de utilidad promedio programas de comunicación pública</t>
  </si>
  <si>
    <t>Margen de utilidad promedio de horas de comunicación pública vendida</t>
  </si>
  <si>
    <t>Venta de horas programas de información</t>
  </si>
  <si>
    <t>Horas vendidas en programas de información</t>
  </si>
  <si>
    <t xml:space="preserve">Horas vendidas información / Horas emitidas información </t>
  </si>
  <si>
    <t>Margen de utilidad promedio programas de información</t>
  </si>
  <si>
    <t>Margen de utilidad promedio de horas de información vendida</t>
  </si>
  <si>
    <t>Realización de propuestas comerciales de producción a las diferentes secretarias, entes descentralizados de la alcaldía de Medellín y entidades privadas nacionales e internacionales.
Celebrar convenios y coordinar la facturación de los contratos logrados con las diferentes secretarias y entes descentralizados de la Alcaldía de Medellín.</t>
  </si>
  <si>
    <t>Transmisión cedida de la señal del satélite</t>
  </si>
  <si>
    <t>Transmisiones cedida de la señal del satélite de programas de información</t>
  </si>
  <si>
    <t>DIMENSIÓN 3: PROMOVEMOS EL ENTRETENIMIENTO</t>
  </si>
  <si>
    <t>Horas programas entretenimiento</t>
  </si>
  <si>
    <t xml:space="preserve">Emitir horas de Programas de entretenimiento </t>
  </si>
  <si>
    <t>Nominaciones a premios entretenimiento</t>
  </si>
  <si>
    <t xml:space="preserve">Nominaciones a premios en programas de entretenimiento </t>
  </si>
  <si>
    <t>Venta de horas programas de entretenimiento</t>
  </si>
  <si>
    <t>Horas vendidas en programas de entretenimiento</t>
  </si>
  <si>
    <t xml:space="preserve">Horas vendidas entretenimiento / Horas emitidas entretenimiento </t>
  </si>
  <si>
    <t>Margen de utilidad promedio programas de entretenimiento</t>
  </si>
  <si>
    <t>Margen de utilidad promedio de horas de entretenimiento vendida</t>
  </si>
  <si>
    <t>Cesión programas de entretenimiento</t>
  </si>
  <si>
    <t>Cantidad de capítulos intercambiados  en programas de entretenimiento</t>
  </si>
  <si>
    <t>Intercambio de capítulos de  programas de entretenimiento</t>
  </si>
  <si>
    <t>Transmisiones cedida de la señal del satélite de programas de entretenimiento</t>
  </si>
  <si>
    <t>Brindar espacios y herramientas para posicionar el canal parque Gabriel García Márquez</t>
  </si>
  <si>
    <t>Eventos realizados en 
el Parque GGM</t>
  </si>
  <si>
    <t>Ranking  tripadvisor</t>
  </si>
  <si>
    <t>Posicionar el canal parque en tripadvisor</t>
  </si>
  <si>
    <t>Posicionar el canal parque 
con diferentes eventos realizados</t>
  </si>
  <si>
    <t>Posición en ranking de tripadvisor de lugares de Medellín</t>
  </si>
  <si>
    <t>Cantidad de Eventos 
realizados en el Parque GGM</t>
  </si>
  <si>
    <t>Número de visitantes centro interactivo</t>
  </si>
  <si>
    <t>Potenciar la sede del canal como fuente de ingresos</t>
  </si>
  <si>
    <t>Directora Administrativo y Financiero</t>
  </si>
  <si>
    <t>Ingreso recibido por alquileres parque GGM</t>
  </si>
  <si>
    <t>Recaudar ingresos por el alquiler de espacios y lugares del canal Parque GGM</t>
  </si>
  <si>
    <t>Ingresos percibidos en alquiler de espacios y lugares del Parque GGM</t>
  </si>
  <si>
    <t>Horas operación del Closed Caption</t>
  </si>
  <si>
    <t>Operar por las horas exigidas por la ANTV el sistema Closed Caption a los programas del canal.</t>
  </si>
  <si>
    <t>DIMENSIÓN 4: SEGUIMOS A LA VANGUARDIA TECNOLÓGICA</t>
  </si>
  <si>
    <t>Adquisición de equipos para realizar la actualización tecnológica requerida y estar a la vanguardia de la tecnología del sector.</t>
  </si>
  <si>
    <t xml:space="preserve">Inversión en
tecnología </t>
  </si>
  <si>
    <t>Presupuesto invertido
en adquisición tecnológica</t>
  </si>
  <si>
    <t xml:space="preserve">Evaluar crecimiento en televidentes
Definir y proyectar crecimiento futuro
Desarrollar estrategia y crecimiento en diferentes plataformas
</t>
  </si>
  <si>
    <t>Número de televidentes en sistemas de televisión paga</t>
  </si>
  <si>
    <t>Identificar el número de televidentes en sistemas de televisión paga</t>
  </si>
  <si>
    <t>Cantidad de televidentes en sistemas de televisión paga</t>
  </si>
  <si>
    <t>Número de visitas en la página web</t>
  </si>
  <si>
    <t>Identificar el flujo de visitantes en la página web</t>
  </si>
  <si>
    <t>Cantidad de visitantes en la página web</t>
  </si>
  <si>
    <t>Número de visitas en la Twitter</t>
  </si>
  <si>
    <t>Identificar el flujo de visitantes en la Twitter</t>
  </si>
  <si>
    <t>Cantidad de visitantes en la Twitter</t>
  </si>
  <si>
    <t>Número de visitas en la Facebook</t>
  </si>
  <si>
    <t>Identificar el flujo de visitantes en la Facebook</t>
  </si>
  <si>
    <t>Cantidad de visitantes en la Facebook</t>
  </si>
  <si>
    <t>Número de visitas en la Instagram</t>
  </si>
  <si>
    <t>Identificar el flujo de visitantes en la Instagram</t>
  </si>
  <si>
    <t>Cantidad de visitantes en la Instagram</t>
  </si>
  <si>
    <t>Director de planeación y grupo de trabajo</t>
  </si>
  <si>
    <t>Desarrollar software que aporten y faciliten el proceso de Telemedellín</t>
  </si>
  <si>
    <t>Software operando en Telemedellín</t>
  </si>
  <si>
    <t>Número de programas software operando</t>
  </si>
  <si>
    <t>Procedimiento trazabilidad productos audiovisuales de Telemedellín</t>
  </si>
  <si>
    <t>DIMENSIÓN 5: SOMOS UN ALIADO ESTRATÉGICO</t>
  </si>
  <si>
    <t>Generar ingresos al Canal a través de proyectos o productos nuevos.</t>
  </si>
  <si>
    <t>Ingresos nuevos productos</t>
  </si>
  <si>
    <t>Ingresos por nuevos clientes</t>
  </si>
  <si>
    <t>Cuantificar el valor de los ingresos que genere la agencia de medio por nuevos clientes</t>
  </si>
  <si>
    <t>Generar ingresos al Canal a través de proyectos o productos nuevos de mercadeo.</t>
  </si>
  <si>
    <t>Generar ingresos al Canal a través de nuevos clientes de mercadeo</t>
  </si>
  <si>
    <t>Directora de mercadeo y comunicaciones
Profesionales de comunicación</t>
  </si>
  <si>
    <t>Cuantificar el valor de los ingresos que genere mercadeo de productos nuevos</t>
  </si>
  <si>
    <t>Cuantificar el valor de los ingresos que genere la mercadeo de medio por nuevos clientes</t>
  </si>
  <si>
    <t>Generar ingresos al Canal a por alianzas estratégicas clientes junior</t>
  </si>
  <si>
    <t>Ingresos por alianzas estratégicas clientes junior</t>
  </si>
  <si>
    <t>Cuantificar el valor de los ingresos que genere las alianzas estratégicas clientes junior</t>
  </si>
  <si>
    <t>Medir el porcentaje de satisfacción con los productos o servicios para el conglomerado</t>
  </si>
  <si>
    <t>Medir el porcentaje de satisfacción con los productos o servicios para otras entidades públicas</t>
  </si>
  <si>
    <t>Desarrollar un modelo de gestión comercial para el conglomerado</t>
  </si>
  <si>
    <t>Desarrollar un modelo de gestión comercial para otras entidades públicas</t>
  </si>
  <si>
    <t>Modelo de gestión comercial para el conglomerado</t>
  </si>
  <si>
    <t>Modelo de gestión comercial para otras entidades públicas</t>
  </si>
  <si>
    <t>Clientes satisfechos del conglomerado</t>
  </si>
  <si>
    <t>Clientes satisfechos de otras entidades públicas</t>
  </si>
  <si>
    <t>Contar con un modelo de gestión comercial acorde a el enfoque comercial del conglomerado.</t>
  </si>
  <si>
    <t>Contar con un modelo de gestión comercial acorde a el enfoque comercial de otras entidades públicas.</t>
  </si>
  <si>
    <t>Modelo de gestión comercial para entidades privadas</t>
  </si>
  <si>
    <t>Contar con un modelo de gestión comercial acorde a el enfoque comercial de entidades privadas.</t>
  </si>
  <si>
    <t>Medir el porcentaje de satisfacción con los productos o servicios para entidades privadas</t>
  </si>
  <si>
    <t>Clientes satisfechos de  entidades privadas</t>
  </si>
  <si>
    <t>DIMENSIÓN 6: FORTALECEMOS A TELEMEDELLÍN</t>
  </si>
  <si>
    <t>Generar rentabilidad anual</t>
  </si>
  <si>
    <t>Utilidad operacional</t>
  </si>
  <si>
    <t>Generar una utilidad operacional igual superior al 0%</t>
  </si>
  <si>
    <t>Utilidad operacional del periodo</t>
  </si>
  <si>
    <t>Transferencias programación</t>
  </si>
  <si>
    <t>Generar ingresos al Canal a través de transferencias o convenio único de programación.</t>
  </si>
  <si>
    <t>Cumplimiento del plan de capacitación</t>
  </si>
  <si>
    <t>Medir las actividades del Plan de formación y capacitación</t>
  </si>
  <si>
    <t>No de actividades del plan de capacitación ejecutadas/ No actividades del plan de capacitación programadas X 100</t>
  </si>
  <si>
    <t xml:space="preserve">Jefe de Gestión Humana
</t>
  </si>
  <si>
    <t>Cumplimiento del Plan de Bienestar Laboral</t>
  </si>
  <si>
    <t>Medir las actividades de bienestar laboral.</t>
  </si>
  <si>
    <t>No de actividades del plan de bienestar laboral ejecutadas  / No actividades del plan de bienestar laboral programadas X 100</t>
  </si>
  <si>
    <t>Jefe de Gestión Humana</t>
  </si>
  <si>
    <t>SEGURIDAD Y SALUD EN EL TRABAJO</t>
  </si>
  <si>
    <t>No de actividades del programa de SST ejecutadas  / No actividades del programa de SST programadas X 100</t>
  </si>
  <si>
    <t>* Formular el programa de seguridad y salud en el trabajo.
* Promover la salud de los trabajadores mediante la prevención y el control de enfermedades y accidentes.
* Implementar el Sistema de Gestión de Seguridad y salud en el trabajo - SGSST.</t>
  </si>
  <si>
    <t>RIESGO PSICOSOCIAL</t>
  </si>
  <si>
    <t>Cumplimiento del plan de acción.</t>
  </si>
  <si>
    <t>Plan de acción - Riesgo Psicosocial</t>
  </si>
  <si>
    <t>No de actividades del plan de acción ejecutadas/ No actividades del plan de acción programadas X 100</t>
  </si>
  <si>
    <t>* Formulación e implementación del Plan de acción (Riesgo Psicosocial) frente a los resultados obtenidos</t>
  </si>
  <si>
    <t>EVALUACIÓN DEL DESEMPEÑO</t>
  </si>
  <si>
    <t>Evaluación del desempeño</t>
  </si>
  <si>
    <t>Realizar la evaluación de desempeño al personal vinculado, dos veces al año.</t>
  </si>
  <si>
    <t>No. Funcionarios con evaluación satisfactoria/total funcionarios evaluados X 100</t>
  </si>
  <si>
    <t>Realizar evaluación de desempeño al personal
* Coordinar la evaluación del desempeño del personal de planta con los Directores de Proceso.
* Consolidar y analizar los resultados de la evaluación</t>
  </si>
  <si>
    <t>Capacitar el  personal del Canal, en temas acordes con las funciones que cada uno desempeña,</t>
  </si>
  <si>
    <t xml:space="preserve"> Realizar las actividades requeridas en el plan de bienestar laboral.</t>
  </si>
  <si>
    <t>DIMENSIÓN 6: FORTALECEMOS TELEMEDELLÍN</t>
  </si>
  <si>
    <t>Contar con un modelo de Gobierno corporativo acorde a las necesidades del canal</t>
  </si>
  <si>
    <t>Cantidad de modelos corporativos implementados</t>
  </si>
  <si>
    <t>Rendición anual de la cuenta de Telemedellín</t>
  </si>
  <si>
    <t>Rendición de la cuenta</t>
  </si>
  <si>
    <t>Número de rendiciones de cuenta</t>
  </si>
  <si>
    <t>Rendir ante la comunidad y el público general interesado la información de las diferentes acciones y manejos que se han realizado de la entidad.</t>
  </si>
  <si>
    <t>PQRSF Cerradas</t>
  </si>
  <si>
    <t>Felicitaciones recibidas</t>
  </si>
  <si>
    <t>Satisfacción de respuestas dadas</t>
  </si>
  <si>
    <t>Tramitar las diferentes PQRFS que llegan al canal</t>
  </si>
  <si>
    <t>Identificar las diferentes felicitaciones recibidas por medio de las PQRFS</t>
  </si>
  <si>
    <t>Darle una repuesta oportuna y clara a los usuarios de esta comunicación, en el lapso de tiempo establecido</t>
  </si>
  <si>
    <t>Reconocer, que porcentaje de las PQRSF, son felicitaciones</t>
  </si>
  <si>
    <t>Identificar si las respuestas ofrecidas por el canal de las PQRSF, dejan satisfecho al usuario de este canal.</t>
  </si>
  <si>
    <t>PQRFS Tramitadas / PQRFS Recibidas</t>
  </si>
  <si>
    <t>Felicitaciones Recibidas / PQRFS Recibidas</t>
  </si>
  <si>
    <t>Cantidad de usuarios satisfechos / Cantidad de usuarios encuestados</t>
  </si>
  <si>
    <t>Clientes satisfechos del conglomerado / Clientes encuestados del conglomerado</t>
  </si>
  <si>
    <t>Clientes satisfechos de entidades privadas / Clientes encuestados de entidades privadas</t>
  </si>
  <si>
    <t>Clientes satisfechos de otras entidades públicas / Clientes encuestados de otras entidades públicas</t>
  </si>
  <si>
    <t>Cantidad de modelos de gestión comercial para el conglomerado</t>
  </si>
  <si>
    <t>Cantidad de modelos de gestión comercial para otras entidades públicas</t>
  </si>
  <si>
    <t>Cantidad de modelos de gestión comercial para entidades privadas</t>
  </si>
  <si>
    <t>CÓDIGO: FT-PE-GE-02
VERSIÓN: 04
FECHA: 09/01/2014</t>
  </si>
  <si>
    <t>Seguimiento a los indicadores formulados para el cumplimiento</t>
  </si>
  <si>
    <t>CÓDIGO: FT-PE-GE-02
VERSIÓN: 04
FECHA: 17/05/2011</t>
  </si>
  <si>
    <t>Cuantificar la utilidad operacional de la Agencia y Central de Medios</t>
  </si>
  <si>
    <t xml:space="preserve"> Utilidad operacional de la Agencia y Central de Medios</t>
  </si>
  <si>
    <t>Medir el valor de la utilidad operacional en  la Agencia y Central de Medios</t>
  </si>
  <si>
    <t>Ingresos transferencias programación</t>
  </si>
  <si>
    <t>Diseño de planes de acción y seguimiento a los resultados de los indicadores</t>
  </si>
  <si>
    <t>Medir por medio del estudio de IBOPE el share alcanzado por Telemedellín. Promedio share de los 10 programas mas importantes del canal.</t>
  </si>
  <si>
    <t>Share promedio de los 10 programas por contenido trimestral</t>
  </si>
  <si>
    <t>Share promedio de los 5 programas mas vistos de comunicación pública</t>
  </si>
  <si>
    <t>Medir por medio del estudio de IBOPE el share alcanzado por Telemedellín. Promedio share de los 5  programas mas vistos de comunicación pública</t>
  </si>
  <si>
    <t>Medir por medio del estudio de IBOPE el share alcanzado por Telemedellín. Promedio share de los 5  programas mas vistos de información</t>
  </si>
  <si>
    <t>Share promedio de los 5 programas mas vistos de información</t>
  </si>
  <si>
    <t>Medir por medio del estudio de IBOPE el share alcanzado por Telemedellín. Promedio share de los 5  programas mas vistos de entretenimiento</t>
  </si>
  <si>
    <t>Share promedio de los 5 programas mas vistos de entretenimiento</t>
  </si>
  <si>
    <t>Evaluar crecimiento en televidentes
Definir y proyectar crecimiento futuro
Desarrollar estrategia y crecimiento en Share</t>
  </si>
  <si>
    <t>Share comunicación pública</t>
  </si>
  <si>
    <t>Share</t>
  </si>
  <si>
    <t>Share información</t>
  </si>
  <si>
    <t>Share entretenimiento</t>
  </si>
  <si>
    <t>Identificar el porcentaje de clientes satisfechos del conglomerado.</t>
  </si>
  <si>
    <t>Identificar el porcentaje de clientes satisfechos de otras entidades públicas.</t>
  </si>
  <si>
    <t>Identificar el porcentaje de clientes satisfechos de entidades privadas.</t>
  </si>
  <si>
    <t>Porcentaje del margen de utilidad de venta de programas de comunicación pública</t>
  </si>
  <si>
    <t>Porcentaje del margen de utilidad de venta de programas de información</t>
  </si>
  <si>
    <t>Cantidad de transmisiones cedida de la señal del satélite programas de información</t>
  </si>
  <si>
    <t>Porcentaje del margen de utilidad de venta de programas de entretenimiento</t>
  </si>
  <si>
    <t>Cantidad de transmisiones cedida de la señal del satélite programas de entretenimiento</t>
  </si>
  <si>
    <t>Ser de los canales más vistos en los últimos 30 días en la tercera ola del EGM</t>
  </si>
  <si>
    <t>Ser de los canales más vistos el día de ayer en la tercera ola del EGM</t>
  </si>
  <si>
    <t>Estar entre los 15 canales más visto el día de ayer en la tercera ola del EGM</t>
  </si>
  <si>
    <t>Reto 1.3.1: Gobierno visible</t>
  </si>
  <si>
    <t xml:space="preserve">Realizar alianzas estratégicas con la Alcaldía y sus entes descentralizados para temas de comunicación a través de la Agencia y Central de Medios de Telemedellín. </t>
  </si>
  <si>
    <t>Seguimiento a los indicadores formulados para el cumplimento</t>
  </si>
  <si>
    <t>Contar con herramientas y sistemas de red corporativo acorde a los procesos de Telemedellín</t>
  </si>
  <si>
    <t>Capítulos cedidos de programas de entretenimiento</t>
  </si>
  <si>
    <t>Capítulos intercambiados de programas de entretenimiento</t>
  </si>
  <si>
    <t>Desarrollar un modelo de gestión comercial para entidades privadas</t>
  </si>
  <si>
    <t>Invertir en los equipos idóneos y adecuados para
 mantener el canal actualizado tecnológicamente.</t>
  </si>
  <si>
    <t>Cumplir indicador "% de tiempo al aire de la señal satelital".</t>
  </si>
  <si>
    <t>Realización de comité de contratación</t>
  </si>
  <si>
    <t>Implementar un modelo de Gobierno corporativo</t>
  </si>
  <si>
    <t>Modelo de Gobierno corporativo</t>
  </si>
  <si>
    <t>* Elaborar y ejercer control del presupuesto acorde a los planes del Canal.
* Presentar oportunamente los estados financieros con las respectivas recomendaciones a la dirección.
* Realizar un adecuado control a los activos.</t>
  </si>
  <si>
    <t>Medir la capacidad para atender obligaciones en el corto plazo</t>
  </si>
  <si>
    <t xml:space="preserve">Medir la satisfacción de los usuarios quienes envían las diferentes PQRSF </t>
  </si>
  <si>
    <t>Generar ingresos al Canal a través de transferencias o convenios de programación.</t>
  </si>
  <si>
    <t>&gt;0%</t>
  </si>
  <si>
    <t>OBJETIVO ESTRATÉGICO</t>
  </si>
  <si>
    <t>DIMENSIÓN 3 PROMOVEMOS EL ENTRETENIMIENTO</t>
  </si>
  <si>
    <t xml:space="preserve">OBJETIVO ESTRATÉGICO </t>
  </si>
  <si>
    <t>Número de horas al aire de la programación con Closed Caption</t>
  </si>
  <si>
    <t>Operar el sistema de subtítulos de programas de televisión destinado para la audiencia hipoacusia.</t>
  </si>
  <si>
    <t>Generar ingresos al Canal a por alianzas estratégicas clientes Premium</t>
  </si>
  <si>
    <t>Ingresos por alianzas estratégicas clientes Premium</t>
  </si>
  <si>
    <t>Cuantificar el valor de los ingresos que genere las alianzas estratégicas clientes Premium</t>
  </si>
  <si>
    <t xml:space="preserve">Elevar la capacidad de innovación, calidad técnica y audiovisual en la producción, programación y distribución de los contenidos a través de las distintas plataformas. </t>
  </si>
  <si>
    <t>Valor Trimestre 1</t>
  </si>
  <si>
    <t>Valor enero</t>
  </si>
  <si>
    <t>Valor febrero</t>
  </si>
  <si>
    <t>Valor marzo</t>
  </si>
  <si>
    <t>Valor abril</t>
  </si>
  <si>
    <t>Valor mayo</t>
  </si>
  <si>
    <t>Valor junio</t>
  </si>
  <si>
    <t>Valor  julio</t>
  </si>
  <si>
    <t>Valor agosto</t>
  </si>
  <si>
    <t>Valor septiembre</t>
  </si>
  <si>
    <t>Valor octubre</t>
  </si>
  <si>
    <t>Valor  noviembre</t>
  </si>
  <si>
    <t>Valor diciembre</t>
  </si>
  <si>
    <t>Valor Trimestre 2</t>
  </si>
  <si>
    <t>Valor Trimestre 3</t>
  </si>
  <si>
    <t>Valor Trimestre 4</t>
  </si>
  <si>
    <t>Se puso como responsable a todos los directores de área.</t>
  </si>
  <si>
    <t>GERENCIA</t>
  </si>
  <si>
    <t>PLANEACIÓN</t>
  </si>
  <si>
    <t>PROGRAMACIÓN</t>
  </si>
  <si>
    <t>PRODUCCIÓN</t>
  </si>
  <si>
    <t>AGENCIA Y CENTRAL</t>
  </si>
  <si>
    <t>TÉCNICA</t>
  </si>
  <si>
    <t>G. HUMANA</t>
  </si>
  <si>
    <t>JURÍDICA</t>
  </si>
  <si>
    <t>ADMINISTRATIVA</t>
  </si>
  <si>
    <t>CONTROL INTERNO</t>
  </si>
  <si>
    <t>COMUNICACIONES</t>
  </si>
  <si>
    <t>PROCESO</t>
  </si>
  <si>
    <t>% LOGRADO</t>
  </si>
  <si>
    <t>Procedimiento de trazabilidad de los productos audiovisuales de Telemedellín operando</t>
  </si>
  <si>
    <t>Implementación y seguimiento del MIPG</t>
  </si>
  <si>
    <t>MIPG</t>
  </si>
  <si>
    <t>Ingreso recibido por alquileres sede y parque GGM</t>
  </si>
  <si>
    <t>Ingresos percibidos en alquiler de espacios sede y lugares del Parque GGM</t>
  </si>
  <si>
    <t>Realizar todas las actividades programadas en el plan para el año 2018</t>
  </si>
  <si>
    <t>Cumplimiento del plan de trabajo de la OCI para el año 2018</t>
  </si>
  <si>
    <t>PROYECTOS Y ACTIVIDADES</t>
  </si>
  <si>
    <t>Seguimiento a las actividades formuladas para MIPG</t>
  </si>
  <si>
    <t>Ingresos por alianzas estratégicas clientes Premium (mayores a $100.000.000)</t>
  </si>
  <si>
    <t>Ingresos por alianzas estratégicas clientes junior (menores a $100.000.000)</t>
  </si>
  <si>
    <t>Porcentaje alcanzado de la meta</t>
  </si>
  <si>
    <t>AÑO:  2019</t>
  </si>
  <si>
    <t>AÑO: 2019</t>
  </si>
  <si>
    <t>Cantidad de visitantes en el Tour Telemedellín</t>
  </si>
  <si>
    <t>Identificar el flujo de visitantes en el Tour Telemedellín</t>
  </si>
  <si>
    <t>Medir el clima organizacional del canal</t>
  </si>
  <si>
    <t>Clima organizacional</t>
  </si>
  <si>
    <t xml:space="preserve">Medir en que porcentaje es la percepción del clima organizacional de los trabajadores y empleados del canal </t>
  </si>
  <si>
    <t>Promedio del clima organizacional percibido por la encuesta de este tema</t>
  </si>
  <si>
    <t>Documentación e Implementación del Sistema de Gestión de Seguridad y salud en el trabajo.</t>
  </si>
  <si>
    <t>Cantidad de capítulos cedidos de programas de entretenimiento</t>
  </si>
  <si>
    <t>Elaborar el procedimiento de trazabilidad de los productos audiovisuales de Telemedellín</t>
  </si>
  <si>
    <t>Diseño del procedimiento de trazabilidad de los productos audiovisuales de Telemedellín</t>
  </si>
  <si>
    <t>PONDERACIÓN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</si>
</sst>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\ * #,##0_-;\-&quot;$&quot;\ * #,##0_-;_-&quot;$&quot;\ * &quot;-&quot;_-;_-@_-"/>
    <numFmt numFmtId="41" formatCode="_-* #,##0_-;\-* #,##0_-;_-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%"/>
    <numFmt numFmtId="168" formatCode="_(* #,##0_);_(* \(#,##0\);_(* &quot;-&quot;??_);_(@_)"/>
    <numFmt numFmtId="169" formatCode="[$$-409]#,##0"/>
    <numFmt numFmtId="170" formatCode="0.00000%"/>
    <numFmt numFmtId="171" formatCode="_(&quot;$&quot;\ * #,##0_);_(&quot;$&quot;\ * \(#,##0\);_(&quot;$&quot;\ * &quot;-&quot;??_);_(@_)"/>
    <numFmt numFmtId="172" formatCode="0.0"/>
    <numFmt numFmtId="173" formatCode="&quot;$&quot;\ #,##0"/>
    <numFmt numFmtId="174" formatCode="&quot;$&quot;#,##0;[Red]\-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4"/>
      <name val="Calibri"/>
      <family val="2"/>
      <scheme val="minor"/>
    </font>
    <font>
      <sz val="14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7">
    <xf numFmtId="0" fontId="0" fillId="0" borderId="0" xfId="0"/>
    <xf numFmtId="0" fontId="2" fillId="0" borderId="0" xfId="2" applyFont="1"/>
    <xf numFmtId="0" fontId="2" fillId="0" borderId="10" xfId="2" applyFont="1" applyFill="1" applyBorder="1" applyAlignment="1">
      <alignment horizontal="justify" vertical="center" wrapText="1"/>
    </xf>
    <xf numFmtId="0" fontId="7" fillId="6" borderId="0" xfId="4" applyFill="1"/>
    <xf numFmtId="0" fontId="4" fillId="4" borderId="16" xfId="4" applyFont="1" applyFill="1" applyBorder="1" applyAlignment="1">
      <alignment horizontal="center"/>
    </xf>
    <xf numFmtId="0" fontId="6" fillId="4" borderId="17" xfId="4" applyFont="1" applyFill="1" applyBorder="1" applyAlignment="1">
      <alignment horizontal="center" vertical="center"/>
    </xf>
    <xf numFmtId="0" fontId="4" fillId="4" borderId="18" xfId="4" applyFont="1" applyFill="1" applyBorder="1" applyAlignment="1">
      <alignment horizontal="center" wrapText="1"/>
    </xf>
    <xf numFmtId="0" fontId="3" fillId="6" borderId="0" xfId="4" applyFont="1" applyFill="1" applyAlignment="1">
      <alignment horizontal="center" vertical="center"/>
    </xf>
    <xf numFmtId="0" fontId="0" fillId="7" borderId="10" xfId="0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5" fillId="0" borderId="0" xfId="0" applyFont="1"/>
    <xf numFmtId="0" fontId="2" fillId="0" borderId="0" xfId="2" applyFont="1" applyBorder="1"/>
    <xf numFmtId="0" fontId="2" fillId="0" borderId="0" xfId="2" applyFont="1" applyAlignment="1"/>
    <xf numFmtId="0" fontId="2" fillId="6" borderId="0" xfId="2" applyFont="1" applyFill="1"/>
    <xf numFmtId="0" fontId="2" fillId="6" borderId="0" xfId="2" applyFont="1" applyFill="1" applyAlignment="1"/>
    <xf numFmtId="170" fontId="2" fillId="0" borderId="0" xfId="2" applyNumberFormat="1" applyFont="1"/>
    <xf numFmtId="0" fontId="5" fillId="0" borderId="0" xfId="0" applyFont="1" applyAlignment="1">
      <alignment horizontal="right"/>
    </xf>
    <xf numFmtId="166" fontId="5" fillId="0" borderId="10" xfId="3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right"/>
    </xf>
    <xf numFmtId="167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166" fontId="5" fillId="0" borderId="10" xfId="3" applyNumberFormat="1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8" fontId="2" fillId="0" borderId="10" xfId="3" applyNumberFormat="1" applyFont="1" applyFill="1" applyBorder="1" applyAlignment="1">
      <alignment horizontal="right" vertical="center"/>
    </xf>
    <xf numFmtId="167" fontId="2" fillId="5" borderId="10" xfId="1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vertical="top" wrapText="1"/>
    </xf>
    <xf numFmtId="9" fontId="2" fillId="0" borderId="10" xfId="2" applyNumberFormat="1" applyFont="1" applyFill="1" applyBorder="1" applyAlignment="1">
      <alignment horizontal="center" vertical="center"/>
    </xf>
    <xf numFmtId="9" fontId="5" fillId="0" borderId="10" xfId="1" applyFont="1" applyFill="1" applyBorder="1" applyAlignment="1">
      <alignment horizontal="center" vertical="center"/>
    </xf>
    <xf numFmtId="171" fontId="5" fillId="0" borderId="0" xfId="9" applyNumberFormat="1" applyFont="1"/>
    <xf numFmtId="0" fontId="2" fillId="6" borderId="0" xfId="4" applyFont="1" applyFill="1"/>
    <xf numFmtId="9" fontId="5" fillId="0" borderId="10" xfId="7" applyNumberFormat="1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5" fillId="0" borderId="10" xfId="7" applyFont="1" applyFill="1" applyBorder="1" applyAlignment="1">
      <alignment horizontal="left" vertical="top" wrapText="1"/>
    </xf>
    <xf numFmtId="0" fontId="5" fillId="0" borderId="0" xfId="0" applyFont="1" applyFill="1"/>
    <xf numFmtId="0" fontId="10" fillId="3" borderId="10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167" fontId="3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0" fontId="3" fillId="3" borderId="10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 wrapText="1"/>
    </xf>
    <xf numFmtId="9" fontId="2" fillId="0" borderId="10" xfId="1" applyFont="1" applyFill="1" applyBorder="1" applyAlignment="1">
      <alignment horizontal="center" vertical="center" wrapText="1"/>
    </xf>
    <xf numFmtId="9" fontId="2" fillId="5" borderId="10" xfId="1" applyFont="1" applyFill="1" applyBorder="1" applyAlignment="1">
      <alignment horizontal="center" vertical="center"/>
    </xf>
    <xf numFmtId="166" fontId="2" fillId="0" borderId="10" xfId="3" applyNumberFormat="1" applyFont="1" applyFill="1" applyBorder="1" applyAlignment="1">
      <alignment horizontal="center" vertical="center" wrapText="1"/>
    </xf>
    <xf numFmtId="2" fontId="5" fillId="0" borderId="10" xfId="3" applyNumberFormat="1" applyFont="1" applyFill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/>
    </xf>
    <xf numFmtId="9" fontId="3" fillId="0" borderId="10" xfId="2" applyNumberFormat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top" wrapText="1"/>
    </xf>
    <xf numFmtId="10" fontId="2" fillId="5" borderId="10" xfId="1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left" vertical="top" wrapText="1"/>
    </xf>
    <xf numFmtId="9" fontId="2" fillId="0" borderId="10" xfId="1" applyFont="1" applyFill="1" applyBorder="1" applyAlignment="1">
      <alignment horizontal="center" vertical="center"/>
    </xf>
    <xf numFmtId="9" fontId="5" fillId="0" borderId="10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10" fontId="2" fillId="5" borderId="12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9" fontId="5" fillId="5" borderId="10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justify" vertical="center" wrapText="1"/>
    </xf>
    <xf numFmtId="0" fontId="2" fillId="0" borderId="10" xfId="2" applyFont="1" applyFill="1" applyBorder="1" applyAlignment="1">
      <alignment horizontal="center" vertical="center" wrapText="1"/>
    </xf>
    <xf numFmtId="10" fontId="2" fillId="5" borderId="10" xfId="1" applyNumberFormat="1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9" fontId="2" fillId="0" borderId="10" xfId="2" applyNumberFormat="1" applyFont="1" applyBorder="1" applyAlignment="1">
      <alignment horizontal="center" vertical="center"/>
    </xf>
    <xf numFmtId="10" fontId="5" fillId="5" borderId="10" xfId="2" applyNumberFormat="1" applyFont="1" applyFill="1" applyBorder="1" applyAlignment="1">
      <alignment horizontal="center" vertical="center" wrapText="1"/>
    </xf>
    <xf numFmtId="167" fontId="5" fillId="5" borderId="10" xfId="2" applyNumberFormat="1" applyFont="1" applyFill="1" applyBorder="1" applyAlignment="1">
      <alignment horizontal="center" vertical="center"/>
    </xf>
    <xf numFmtId="9" fontId="2" fillId="6" borderId="10" xfId="1" applyFont="1" applyFill="1" applyBorder="1" applyAlignment="1">
      <alignment horizontal="center" vertical="center"/>
    </xf>
    <xf numFmtId="9" fontId="5" fillId="6" borderId="10" xfId="2" applyNumberFormat="1" applyFont="1" applyFill="1" applyBorder="1" applyAlignment="1">
      <alignment horizontal="center" vertical="center"/>
    </xf>
    <xf numFmtId="0" fontId="15" fillId="7" borderId="4" xfId="4" applyFont="1" applyFill="1" applyBorder="1" applyAlignment="1">
      <alignment horizontal="center" vertical="center"/>
    </xf>
    <xf numFmtId="0" fontId="16" fillId="7" borderId="4" xfId="4" applyFont="1" applyFill="1" applyBorder="1" applyAlignment="1">
      <alignment wrapText="1"/>
    </xf>
    <xf numFmtId="167" fontId="15" fillId="8" borderId="4" xfId="5" applyNumberFormat="1" applyFont="1" applyFill="1" applyBorder="1" applyAlignment="1">
      <alignment horizontal="center" vertical="center"/>
    </xf>
    <xf numFmtId="0" fontId="15" fillId="7" borderId="10" xfId="4" applyFont="1" applyFill="1" applyBorder="1" applyAlignment="1">
      <alignment horizontal="center" vertical="center"/>
    </xf>
    <xf numFmtId="0" fontId="16" fillId="7" borderId="10" xfId="4" applyFont="1" applyFill="1" applyBorder="1" applyAlignment="1">
      <alignment horizontal="left" vertical="top" wrapText="1"/>
    </xf>
    <xf numFmtId="10" fontId="2" fillId="5" borderId="10" xfId="2" applyNumberFormat="1" applyFont="1" applyFill="1" applyBorder="1" applyAlignment="1">
      <alignment horizontal="center" vertical="center" wrapText="1"/>
    </xf>
    <xf numFmtId="10" fontId="5" fillId="0" borderId="0" xfId="0" applyNumberFormat="1" applyFont="1"/>
    <xf numFmtId="10" fontId="3" fillId="0" borderId="4" xfId="1" applyNumberFormat="1" applyFont="1" applyFill="1" applyBorder="1" applyAlignment="1">
      <alignment horizontal="center" vertical="center" wrapText="1"/>
    </xf>
    <xf numFmtId="10" fontId="5" fillId="5" borderId="10" xfId="2" applyNumberFormat="1" applyFont="1" applyFill="1" applyBorder="1" applyAlignment="1">
      <alignment horizontal="center" vertical="center"/>
    </xf>
    <xf numFmtId="9" fontId="2" fillId="5" borderId="10" xfId="2" applyNumberFormat="1" applyFont="1" applyFill="1" applyBorder="1" applyAlignment="1">
      <alignment horizontal="center" vertical="center" wrapText="1"/>
    </xf>
    <xf numFmtId="167" fontId="11" fillId="0" borderId="10" xfId="0" applyNumberFormat="1" applyFont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center" wrapText="1"/>
    </xf>
    <xf numFmtId="169" fontId="2" fillId="0" borderId="10" xfId="2" applyNumberFormat="1" applyFont="1" applyFill="1" applyBorder="1" applyAlignment="1">
      <alignment horizontal="center" vertical="center"/>
    </xf>
    <xf numFmtId="10" fontId="2" fillId="5" borderId="10" xfId="2" applyNumberFormat="1" applyFont="1" applyFill="1" applyBorder="1" applyAlignment="1">
      <alignment horizontal="center" vertical="center" wrapText="1"/>
    </xf>
    <xf numFmtId="10" fontId="5" fillId="5" borderId="10" xfId="2" applyNumberFormat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wrapText="1"/>
    </xf>
    <xf numFmtId="0" fontId="18" fillId="6" borderId="0" xfId="2" applyFont="1" applyFill="1" applyAlignment="1">
      <alignment horizontal="right" wrapText="1"/>
    </xf>
    <xf numFmtId="0" fontId="18" fillId="0" borderId="0" xfId="2" applyFont="1" applyAlignment="1">
      <alignment horizontal="right" wrapText="1"/>
    </xf>
    <xf numFmtId="0" fontId="18" fillId="0" borderId="0" xfId="2" applyFont="1" applyBorder="1" applyAlignment="1">
      <alignment horizontal="right" wrapText="1"/>
    </xf>
    <xf numFmtId="0" fontId="2" fillId="0" borderId="10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10" fontId="5" fillId="5" borderId="10" xfId="2" applyNumberFormat="1" applyFont="1" applyFill="1" applyBorder="1" applyAlignment="1">
      <alignment horizontal="center" vertical="center"/>
    </xf>
    <xf numFmtId="10" fontId="2" fillId="5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9" fontId="2" fillId="5" borderId="10" xfId="1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9" fontId="2" fillId="5" borderId="1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166" fontId="5" fillId="0" borderId="3" xfId="3" applyNumberFormat="1" applyFont="1" applyFill="1" applyBorder="1" applyAlignment="1">
      <alignment vertical="center" wrapText="1"/>
    </xf>
    <xf numFmtId="166" fontId="5" fillId="0" borderId="10" xfId="3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2" fillId="0" borderId="10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1" fontId="2" fillId="0" borderId="10" xfId="3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1" fontId="2" fillId="0" borderId="12" xfId="2" applyNumberFormat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top" wrapText="1"/>
    </xf>
    <xf numFmtId="169" fontId="2" fillId="0" borderId="10" xfId="2" applyNumberFormat="1" applyFont="1" applyFill="1" applyBorder="1" applyAlignment="1">
      <alignment horizontal="center" vertical="center"/>
    </xf>
    <xf numFmtId="10" fontId="2" fillId="5" borderId="10" xfId="2" applyNumberFormat="1" applyFont="1" applyFill="1" applyBorder="1" applyAlignment="1">
      <alignment horizontal="center" vertical="center" wrapText="1"/>
    </xf>
    <xf numFmtId="10" fontId="2" fillId="0" borderId="0" xfId="2" applyNumberFormat="1" applyFont="1"/>
    <xf numFmtId="9" fontId="5" fillId="0" borderId="0" xfId="0" applyNumberFormat="1" applyFont="1"/>
    <xf numFmtId="0" fontId="2" fillId="0" borderId="10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10" fontId="2" fillId="6" borderId="0" xfId="2" applyNumberFormat="1" applyFont="1" applyFill="1"/>
    <xf numFmtId="0" fontId="5" fillId="0" borderId="10" xfId="0" applyFont="1" applyBorder="1" applyAlignment="1">
      <alignment horizontal="left" vertical="top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6" borderId="10" xfId="2" applyFont="1" applyFill="1" applyBorder="1" applyAlignment="1">
      <alignment horizontal="left" vertical="top" wrapText="1"/>
    </xf>
    <xf numFmtId="0" fontId="6" fillId="4" borderId="10" xfId="4" applyFont="1" applyFill="1" applyBorder="1" applyAlignment="1">
      <alignment horizontal="center" vertical="center"/>
    </xf>
    <xf numFmtId="9" fontId="6" fillId="4" borderId="10" xfId="4" applyNumberFormat="1" applyFont="1" applyFill="1" applyBorder="1" applyAlignment="1">
      <alignment horizontal="center" vertical="center"/>
    </xf>
    <xf numFmtId="0" fontId="4" fillId="4" borderId="17" xfId="4" applyFont="1" applyFill="1" applyBorder="1" applyAlignment="1">
      <alignment horizontal="center" vertical="center"/>
    </xf>
    <xf numFmtId="9" fontId="5" fillId="0" borderId="10" xfId="1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167" fontId="5" fillId="5" borderId="20" xfId="2" applyNumberFormat="1" applyFont="1" applyFill="1" applyBorder="1" applyAlignment="1">
      <alignment horizontal="center" vertical="center"/>
    </xf>
    <xf numFmtId="9" fontId="2" fillId="0" borderId="20" xfId="0" applyNumberFormat="1" applyFont="1" applyBorder="1" applyAlignment="1">
      <alignment horizontal="left" vertical="top" wrapText="1"/>
    </xf>
    <xf numFmtId="9" fontId="2" fillId="0" borderId="10" xfId="0" applyNumberFormat="1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center" wrapText="1"/>
    </xf>
    <xf numFmtId="167" fontId="15" fillId="8" borderId="10" xfId="5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169" fontId="2" fillId="0" borderId="10" xfId="2" applyNumberFormat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left" vertical="top" wrapText="1"/>
    </xf>
    <xf numFmtId="9" fontId="2" fillId="5" borderId="10" xfId="1" applyNumberFormat="1" applyFont="1" applyFill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/>
    </xf>
    <xf numFmtId="9" fontId="5" fillId="0" borderId="10" xfId="2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0" applyFont="1" applyBorder="1" applyAlignment="1">
      <alignment vertical="top" wrapText="1"/>
    </xf>
    <xf numFmtId="10" fontId="2" fillId="5" borderId="10" xfId="2" applyNumberFormat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  <xf numFmtId="9" fontId="2" fillId="0" borderId="10" xfId="2" applyNumberFormat="1" applyFont="1" applyFill="1" applyBorder="1" applyAlignment="1">
      <alignment horizontal="center" vertical="center" wrapText="1"/>
    </xf>
    <xf numFmtId="9" fontId="2" fillId="0" borderId="10" xfId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9" fontId="5" fillId="0" borderId="10" xfId="1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1" fontId="2" fillId="0" borderId="10" xfId="3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169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top" wrapText="1"/>
    </xf>
    <xf numFmtId="9" fontId="2" fillId="5" borderId="10" xfId="2" applyNumberFormat="1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2" xfId="2" applyNumberFormat="1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 wrapText="1"/>
    </xf>
    <xf numFmtId="171" fontId="2" fillId="0" borderId="0" xfId="2" applyNumberFormat="1" applyFont="1"/>
    <xf numFmtId="0" fontId="3" fillId="6" borderId="10" xfId="4" applyFont="1" applyFill="1" applyBorder="1"/>
    <xf numFmtId="9" fontId="2" fillId="5" borderId="10" xfId="2" applyNumberFormat="1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top" wrapText="1"/>
    </xf>
    <xf numFmtId="167" fontId="2" fillId="5" borderId="10" xfId="1" applyNumberFormat="1" applyFont="1" applyFill="1" applyBorder="1" applyAlignment="1">
      <alignment horizontal="center" vertical="center"/>
    </xf>
    <xf numFmtId="10" fontId="2" fillId="5" borderId="10" xfId="1" applyNumberFormat="1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/>
    </xf>
    <xf numFmtId="9" fontId="2" fillId="5" borderId="10" xfId="2" applyNumberFormat="1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10" fontId="5" fillId="5" borderId="10" xfId="1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7" fillId="6" borderId="0" xfId="4" applyNumberFormat="1" applyFill="1"/>
    <xf numFmtId="10" fontId="7" fillId="6" borderId="0" xfId="1" applyNumberFormat="1" applyFont="1" applyFill="1" applyAlignment="1">
      <alignment horizontal="center"/>
    </xf>
    <xf numFmtId="10" fontId="2" fillId="5" borderId="10" xfId="2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 wrapText="1"/>
    </xf>
    <xf numFmtId="0" fontId="2" fillId="0" borderId="12" xfId="2" applyFont="1" applyBorder="1" applyAlignment="1">
      <alignment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172" fontId="2" fillId="0" borderId="10" xfId="3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5" fillId="0" borderId="0" xfId="0" applyFont="1" applyAlignment="1">
      <alignment horizontal="justify" vertical="top" wrapText="1"/>
    </xf>
    <xf numFmtId="10" fontId="2" fillId="6" borderId="0" xfId="1" applyNumberFormat="1" applyFont="1" applyFill="1" applyAlignment="1">
      <alignment horizontal="center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169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top" wrapText="1"/>
    </xf>
    <xf numFmtId="174" fontId="2" fillId="0" borderId="0" xfId="2" applyNumberFormat="1" applyFont="1" applyAlignment="1">
      <alignment horizontal="center" vertical="center"/>
    </xf>
    <xf numFmtId="0" fontId="5" fillId="0" borderId="10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9" fontId="2" fillId="5" borderId="10" xfId="2" applyNumberFormat="1" applyFont="1" applyFill="1" applyBorder="1" applyAlignment="1">
      <alignment horizontal="center" vertical="center" wrapText="1"/>
    </xf>
    <xf numFmtId="9" fontId="3" fillId="0" borderId="10" xfId="2" applyNumberFormat="1" applyFont="1" applyBorder="1" applyAlignment="1">
      <alignment horizontal="center"/>
    </xf>
    <xf numFmtId="9" fontId="5" fillId="0" borderId="0" xfId="1" applyFont="1"/>
    <xf numFmtId="9" fontId="11" fillId="0" borderId="10" xfId="0" applyNumberFormat="1" applyFont="1" applyBorder="1" applyAlignment="1">
      <alignment horizontal="center" vertical="center"/>
    </xf>
    <xf numFmtId="9" fontId="2" fillId="5" borderId="10" xfId="2" applyNumberFormat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center" wrapText="1"/>
    </xf>
    <xf numFmtId="10" fontId="3" fillId="0" borderId="10" xfId="2" applyNumberFormat="1" applyFont="1" applyFill="1" applyBorder="1" applyAlignment="1">
      <alignment horizontal="center" vertical="center"/>
    </xf>
    <xf numFmtId="167" fontId="4" fillId="6" borderId="10" xfId="4" applyNumberFormat="1" applyFont="1" applyFill="1" applyBorder="1" applyAlignment="1">
      <alignment horizontal="center"/>
    </xf>
    <xf numFmtId="10" fontId="2" fillId="5" borderId="10" xfId="2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169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1" fontId="2" fillId="0" borderId="10" xfId="2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" fontId="2" fillId="0" borderId="10" xfId="3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9" fontId="2" fillId="0" borderId="10" xfId="2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/>
    </xf>
    <xf numFmtId="42" fontId="2" fillId="0" borderId="20" xfId="24" applyFont="1" applyFill="1" applyBorder="1" applyAlignment="1">
      <alignment horizontal="center" vertical="center" wrapText="1"/>
    </xf>
    <xf numFmtId="42" fontId="2" fillId="0" borderId="20" xfId="2" applyNumberFormat="1" applyFont="1" applyFill="1" applyBorder="1" applyAlignment="1">
      <alignment horizontal="center" vertical="center" wrapText="1"/>
    </xf>
    <xf numFmtId="3" fontId="2" fillId="0" borderId="20" xfId="2" applyNumberFormat="1" applyFont="1" applyFill="1" applyBorder="1" applyAlignment="1">
      <alignment horizontal="center" vertical="center" wrapText="1"/>
    </xf>
    <xf numFmtId="3" fontId="2" fillId="6" borderId="20" xfId="2" applyNumberFormat="1" applyFont="1" applyFill="1" applyBorder="1" applyAlignment="1">
      <alignment horizontal="center" vertical="center" wrapText="1"/>
    </xf>
    <xf numFmtId="173" fontId="2" fillId="0" borderId="20" xfId="2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/>
    </xf>
    <xf numFmtId="173" fontId="2" fillId="6" borderId="15" xfId="2" applyNumberFormat="1" applyFont="1" applyFill="1" applyBorder="1" applyAlignment="1">
      <alignment horizontal="center" vertical="center" wrapText="1"/>
    </xf>
    <xf numFmtId="9" fontId="2" fillId="0" borderId="20" xfId="1" applyFont="1" applyFill="1" applyBorder="1" applyAlignment="1">
      <alignment horizontal="center" vertical="center" wrapText="1"/>
    </xf>
    <xf numFmtId="2" fontId="5" fillId="0" borderId="0" xfId="0" applyNumberFormat="1" applyFont="1"/>
    <xf numFmtId="172" fontId="2" fillId="0" borderId="10" xfId="2" applyNumberFormat="1" applyFont="1" applyFill="1" applyBorder="1" applyAlignment="1">
      <alignment horizontal="center" vertical="center"/>
    </xf>
    <xf numFmtId="168" fontId="2" fillId="0" borderId="10" xfId="3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68" fontId="5" fillId="0" borderId="12" xfId="3" applyNumberFormat="1" applyFont="1" applyFill="1" applyBorder="1" applyAlignment="1">
      <alignment horizontal="center" vertical="center"/>
    </xf>
    <xf numFmtId="168" fontId="5" fillId="0" borderId="10" xfId="3" applyNumberFormat="1" applyFont="1" applyFill="1" applyBorder="1" applyAlignment="1">
      <alignment horizontal="center" vertical="center"/>
    </xf>
    <xf numFmtId="169" fontId="2" fillId="0" borderId="8" xfId="2" applyNumberFormat="1" applyFont="1" applyFill="1" applyBorder="1" applyAlignment="1">
      <alignment horizontal="center" vertical="center"/>
    </xf>
    <xf numFmtId="3" fontId="2" fillId="0" borderId="10" xfId="3" applyNumberFormat="1" applyFont="1" applyFill="1" applyBorder="1" applyAlignment="1">
      <alignment vertical="center" wrapText="1"/>
    </xf>
    <xf numFmtId="41" fontId="2" fillId="6" borderId="0" xfId="25" applyFont="1" applyFill="1"/>
    <xf numFmtId="169" fontId="2" fillId="0" borderId="10" xfId="2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 wrapText="1"/>
    </xf>
    <xf numFmtId="1" fontId="2" fillId="0" borderId="10" xfId="3" applyNumberFormat="1" applyFont="1" applyFill="1" applyBorder="1" applyAlignment="1">
      <alignment horizontal="center" vertical="center"/>
    </xf>
    <xf numFmtId="169" fontId="2" fillId="0" borderId="10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12" xfId="2" applyNumberFormat="1" applyFont="1" applyBorder="1" applyAlignment="1">
      <alignment horizontal="left" vertical="top" wrapText="1"/>
    </xf>
    <xf numFmtId="3" fontId="2" fillId="0" borderId="10" xfId="3" applyNumberFormat="1" applyFont="1" applyFill="1" applyBorder="1" applyAlignment="1">
      <alignment horizontal="center" vertical="center" wrapText="1"/>
    </xf>
    <xf numFmtId="3" fontId="2" fillId="0" borderId="20" xfId="25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left" vertical="center" wrapText="1"/>
    </xf>
    <xf numFmtId="0" fontId="5" fillId="6" borderId="10" xfId="2" applyFont="1" applyFill="1" applyBorder="1" applyAlignment="1">
      <alignment horizontal="left" vertical="center" wrapText="1"/>
    </xf>
    <xf numFmtId="0" fontId="2" fillId="0" borderId="12" xfId="2" applyFont="1" applyBorder="1" applyAlignment="1">
      <alignment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top" wrapText="1"/>
    </xf>
    <xf numFmtId="9" fontId="2" fillId="0" borderId="10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top" wrapText="1"/>
    </xf>
    <xf numFmtId="0" fontId="2" fillId="0" borderId="10" xfId="2" applyFont="1" applyFill="1" applyBorder="1" applyAlignment="1">
      <alignment horizontal="left" vertical="top" wrapText="1"/>
    </xf>
    <xf numFmtId="0" fontId="2" fillId="0" borderId="20" xfId="2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8" fillId="4" borderId="1" xfId="4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center" vertical="center"/>
    </xf>
    <xf numFmtId="0" fontId="8" fillId="4" borderId="2" xfId="4" applyFont="1" applyFill="1" applyBorder="1" applyAlignment="1">
      <alignment horizontal="center" vertical="center"/>
    </xf>
    <xf numFmtId="0" fontId="6" fillId="4" borderId="10" xfId="4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/>
    </xf>
    <xf numFmtId="0" fontId="3" fillId="0" borderId="10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wrapText="1"/>
    </xf>
    <xf numFmtId="0" fontId="3" fillId="5" borderId="10" xfId="2" applyFont="1" applyFill="1" applyBorder="1" applyAlignment="1">
      <alignment horizontal="left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0" fillId="0" borderId="10" xfId="0" applyBorder="1"/>
    <xf numFmtId="169" fontId="2" fillId="0" borderId="10" xfId="2" applyNumberFormat="1" applyFont="1" applyFill="1" applyBorder="1" applyAlignment="1">
      <alignment horizontal="center" vertical="center"/>
    </xf>
    <xf numFmtId="10" fontId="2" fillId="5" borderId="10" xfId="2" applyNumberFormat="1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left" vertical="center" wrapText="1"/>
    </xf>
    <xf numFmtId="0" fontId="3" fillId="0" borderId="2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10" fontId="2" fillId="5" borderId="10" xfId="1" applyNumberFormat="1" applyFont="1" applyFill="1" applyBorder="1" applyAlignment="1">
      <alignment horizontal="center" vertical="center" wrapText="1"/>
    </xf>
    <xf numFmtId="0" fontId="3" fillId="5" borderId="10" xfId="2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5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 shrinkToFit="1"/>
    </xf>
    <xf numFmtId="0" fontId="2" fillId="0" borderId="10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center" wrapText="1"/>
    </xf>
    <xf numFmtId="10" fontId="5" fillId="5" borderId="10" xfId="2" applyNumberFormat="1" applyFont="1" applyFill="1" applyBorder="1" applyAlignment="1">
      <alignment horizontal="center" vertical="center"/>
    </xf>
    <xf numFmtId="10" fontId="2" fillId="5" borderId="12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3" fillId="0" borderId="10" xfId="2" applyFont="1" applyFill="1" applyBorder="1" applyAlignment="1">
      <alignment horizontal="right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1" fontId="2" fillId="0" borderId="10" xfId="2" applyNumberFormat="1" applyFont="1" applyFill="1" applyBorder="1" applyAlignment="1">
      <alignment horizontal="center" vertical="center"/>
    </xf>
    <xf numFmtId="1" fontId="0" fillId="0" borderId="10" xfId="0" applyNumberFormat="1" applyFill="1" applyBorder="1"/>
    <xf numFmtId="1" fontId="0" fillId="0" borderId="10" xfId="0" applyNumberFormat="1" applyBorder="1"/>
    <xf numFmtId="10" fontId="2" fillId="5" borderId="12" xfId="2" applyNumberFormat="1" applyFont="1" applyFill="1" applyBorder="1" applyAlignment="1">
      <alignment horizontal="center" vertical="center" wrapText="1"/>
    </xf>
    <xf numFmtId="10" fontId="2" fillId="5" borderId="8" xfId="2" applyNumberFormat="1" applyFont="1" applyFill="1" applyBorder="1" applyAlignment="1">
      <alignment horizontal="center" vertical="center" wrapText="1"/>
    </xf>
    <xf numFmtId="10" fontId="2" fillId="5" borderId="4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6" borderId="15" xfId="2" applyFont="1" applyFill="1" applyBorder="1" applyAlignment="1">
      <alignment horizontal="center" vertical="center" wrapText="1"/>
    </xf>
    <xf numFmtId="0" fontId="2" fillId="6" borderId="19" xfId="2" applyFont="1" applyFill="1" applyBorder="1" applyAlignment="1">
      <alignment horizontal="center" vertical="center" wrapText="1"/>
    </xf>
    <xf numFmtId="0" fontId="2" fillId="6" borderId="14" xfId="2" applyFont="1" applyFill="1" applyBorder="1" applyAlignment="1">
      <alignment horizontal="center" vertical="center" wrapText="1"/>
    </xf>
    <xf numFmtId="0" fontId="2" fillId="6" borderId="11" xfId="2" applyFont="1" applyFill="1" applyBorder="1" applyAlignment="1">
      <alignment horizontal="center" vertical="center" wrapText="1"/>
    </xf>
    <xf numFmtId="0" fontId="2" fillId="6" borderId="5" xfId="2" applyFont="1" applyFill="1" applyBorder="1" applyAlignment="1">
      <alignment horizontal="center" vertical="center" wrapText="1"/>
    </xf>
    <xf numFmtId="0" fontId="2" fillId="6" borderId="6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9" fontId="2" fillId="5" borderId="10" xfId="2" applyNumberFormat="1" applyFont="1" applyFill="1" applyBorder="1" applyAlignment="1">
      <alignment horizontal="center" vertical="center" wrapText="1"/>
    </xf>
    <xf numFmtId="9" fontId="0" fillId="0" borderId="10" xfId="0" applyNumberFormat="1" applyBorder="1"/>
    <xf numFmtId="0" fontId="2" fillId="0" borderId="20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6" borderId="20" xfId="2" applyFont="1" applyFill="1" applyBorder="1" applyAlignment="1">
      <alignment horizontal="center" vertical="center" wrapText="1"/>
    </xf>
    <xf numFmtId="0" fontId="2" fillId="6" borderId="21" xfId="2" applyFont="1" applyFill="1" applyBorder="1" applyAlignment="1">
      <alignment horizontal="center" vertical="center" wrapText="1"/>
    </xf>
    <xf numFmtId="0" fontId="2" fillId="6" borderId="3" xfId="2" applyFont="1" applyFill="1" applyBorder="1" applyAlignment="1">
      <alignment horizontal="center" vertical="center" wrapText="1"/>
    </xf>
    <xf numFmtId="9" fontId="2" fillId="0" borderId="20" xfId="1" applyFont="1" applyBorder="1" applyAlignment="1">
      <alignment horizontal="center" vertical="center" wrapText="1"/>
    </xf>
    <xf numFmtId="9" fontId="2" fillId="0" borderId="21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/>
    </xf>
    <xf numFmtId="1" fontId="2" fillId="0" borderId="4" xfId="3" applyNumberFormat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center" wrapText="1"/>
    </xf>
    <xf numFmtId="0" fontId="2" fillId="6" borderId="10" xfId="2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167" fontId="5" fillId="0" borderId="10" xfId="1" applyNumberFormat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wrapText="1"/>
    </xf>
    <xf numFmtId="1" fontId="2" fillId="0" borderId="10" xfId="3" applyNumberFormat="1" applyFont="1" applyFill="1" applyBorder="1" applyAlignment="1">
      <alignment horizontal="center" vertical="center"/>
    </xf>
    <xf numFmtId="2" fontId="5" fillId="0" borderId="10" xfId="2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10" xfId="7" applyFont="1" applyBorder="1" applyAlignment="1">
      <alignment horizontal="left" vertical="top" wrapText="1"/>
    </xf>
    <xf numFmtId="9" fontId="5" fillId="0" borderId="20" xfId="1" applyFont="1" applyFill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68" fontId="2" fillId="0" borderId="10" xfId="3" applyNumberFormat="1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top" wrapText="1"/>
    </xf>
    <xf numFmtId="172" fontId="2" fillId="0" borderId="10" xfId="2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10" fillId="3" borderId="10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10" fontId="2" fillId="0" borderId="10" xfId="1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167" fontId="2" fillId="0" borderId="10" xfId="1" applyNumberFormat="1" applyFont="1" applyFill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67" fontId="2" fillId="0" borderId="10" xfId="2" applyNumberFormat="1" applyFont="1" applyFill="1" applyBorder="1" applyAlignment="1">
      <alignment horizontal="center" vertical="center" wrapText="1"/>
    </xf>
    <xf numFmtId="3" fontId="5" fillId="0" borderId="10" xfId="7" applyNumberFormat="1" applyFont="1" applyBorder="1" applyAlignment="1">
      <alignment horizontal="center" vertical="center" wrapText="1"/>
    </xf>
    <xf numFmtId="9" fontId="2" fillId="5" borderId="10" xfId="1" applyFont="1" applyFill="1" applyBorder="1" applyAlignment="1">
      <alignment horizontal="center" vertical="center" wrapText="1"/>
    </xf>
    <xf numFmtId="9" fontId="2" fillId="0" borderId="20" xfId="1" applyFont="1" applyFill="1" applyBorder="1" applyAlignment="1">
      <alignment horizontal="center" vertical="center"/>
    </xf>
    <xf numFmtId="9" fontId="2" fillId="0" borderId="21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169" fontId="2" fillId="0" borderId="12" xfId="2" applyNumberFormat="1" applyFont="1" applyFill="1" applyBorder="1" applyAlignment="1">
      <alignment horizontal="center" vertical="center"/>
    </xf>
    <xf numFmtId="169" fontId="2" fillId="0" borderId="4" xfId="2" applyNumberFormat="1" applyFont="1" applyFill="1" applyBorder="1" applyAlignment="1">
      <alignment horizontal="center" vertical="center"/>
    </xf>
    <xf numFmtId="9" fontId="2" fillId="5" borderId="12" xfId="1" applyNumberFormat="1" applyFont="1" applyFill="1" applyBorder="1" applyAlignment="1">
      <alignment horizontal="center" vertical="center" wrapText="1"/>
    </xf>
    <xf numFmtId="9" fontId="2" fillId="5" borderId="4" xfId="1" applyNumberFormat="1" applyFont="1" applyFill="1" applyBorder="1" applyAlignment="1">
      <alignment horizontal="center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10" fontId="5" fillId="5" borderId="4" xfId="2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top" wrapText="1"/>
    </xf>
    <xf numFmtId="0" fontId="2" fillId="0" borderId="20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12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9" fontId="2" fillId="5" borderId="12" xfId="1" applyFont="1" applyFill="1" applyBorder="1" applyAlignment="1">
      <alignment horizontal="center" vertical="center" wrapText="1"/>
    </xf>
    <xf numFmtId="9" fontId="2" fillId="5" borderId="4" xfId="1" applyFont="1" applyFill="1" applyBorder="1" applyAlignment="1">
      <alignment horizontal="center" vertical="center" wrapText="1"/>
    </xf>
    <xf numFmtId="171" fontId="5" fillId="0" borderId="12" xfId="9" applyNumberFormat="1" applyFont="1" applyBorder="1" applyAlignment="1">
      <alignment horizontal="center" vertical="center"/>
    </xf>
    <xf numFmtId="171" fontId="5" fillId="0" borderId="4" xfId="9" applyNumberFormat="1" applyFont="1" applyBorder="1" applyAlignment="1">
      <alignment horizontal="center" vertical="center"/>
    </xf>
    <xf numFmtId="171" fontId="5" fillId="0" borderId="12" xfId="9" applyNumberFormat="1" applyFont="1" applyFill="1" applyBorder="1" applyAlignment="1">
      <alignment horizontal="center" vertical="center"/>
    </xf>
    <xf numFmtId="171" fontId="5" fillId="0" borderId="4" xfId="9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9" fontId="2" fillId="0" borderId="10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3" fillId="0" borderId="12" xfId="2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9" fontId="5" fillId="0" borderId="4" xfId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 wrapText="1"/>
    </xf>
    <xf numFmtId="9" fontId="5" fillId="0" borderId="10" xfId="2" applyNumberFormat="1" applyFont="1" applyFill="1" applyBorder="1" applyAlignment="1">
      <alignment horizontal="center" vertical="center" wrapText="1"/>
    </xf>
    <xf numFmtId="9" fontId="2" fillId="0" borderId="10" xfId="1" applyNumberFormat="1" applyFont="1" applyFill="1" applyBorder="1" applyAlignment="1">
      <alignment horizontal="center" vertical="center" wrapText="1"/>
    </xf>
    <xf numFmtId="9" fontId="2" fillId="0" borderId="10" xfId="2" applyNumberFormat="1" applyFont="1" applyFill="1" applyBorder="1" applyAlignment="1">
      <alignment horizontal="center" vertical="center" wrapText="1"/>
    </xf>
    <xf numFmtId="167" fontId="2" fillId="5" borderId="10" xfId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3" fillId="3" borderId="10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right"/>
    </xf>
    <xf numFmtId="0" fontId="2" fillId="0" borderId="10" xfId="2" applyFont="1" applyFill="1" applyBorder="1" applyAlignment="1">
      <alignment horizontal="left" vertical="center" wrapText="1"/>
    </xf>
    <xf numFmtId="171" fontId="2" fillId="0" borderId="10" xfId="9" applyNumberFormat="1" applyFont="1" applyFill="1" applyBorder="1" applyAlignment="1">
      <alignment horizontal="center" vertical="center"/>
    </xf>
    <xf numFmtId="171" fontId="0" fillId="0" borderId="10" xfId="9" applyNumberFormat="1" applyFont="1" applyBorder="1"/>
    <xf numFmtId="10" fontId="5" fillId="0" borderId="6" xfId="1" applyNumberFormat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167" fontId="2" fillId="5" borderId="4" xfId="2" applyNumberFormat="1" applyFont="1" applyFill="1" applyBorder="1" applyAlignment="1">
      <alignment horizontal="center" vertical="center" wrapText="1"/>
    </xf>
    <xf numFmtId="2" fontId="2" fillId="0" borderId="10" xfId="9" applyNumberFormat="1" applyFont="1" applyFill="1" applyBorder="1" applyAlignment="1">
      <alignment horizontal="center" vertical="center"/>
    </xf>
    <xf numFmtId="2" fontId="0" fillId="0" borderId="10" xfId="9" applyNumberFormat="1" applyFont="1" applyFill="1" applyBorder="1"/>
    <xf numFmtId="171" fontId="19" fillId="0" borderId="10" xfId="9" applyNumberFormat="1" applyFont="1" applyBorder="1"/>
    <xf numFmtId="0" fontId="2" fillId="5" borderId="4" xfId="2" applyFont="1" applyFill="1" applyBorder="1" applyAlignment="1">
      <alignment horizontal="center" vertical="center" wrapText="1"/>
    </xf>
    <xf numFmtId="10" fontId="5" fillId="0" borderId="3" xfId="1" applyNumberFormat="1" applyFont="1" applyFill="1" applyBorder="1" applyAlignment="1">
      <alignment horizontal="center" vertical="center" wrapText="1"/>
    </xf>
    <xf numFmtId="10" fontId="5" fillId="0" borderId="10" xfId="1" applyNumberFormat="1" applyFont="1" applyFill="1" applyBorder="1" applyAlignment="1">
      <alignment horizontal="center" vertical="center" wrapText="1"/>
    </xf>
    <xf numFmtId="171" fontId="2" fillId="0" borderId="4" xfId="9" applyNumberFormat="1" applyFont="1" applyFill="1" applyBorder="1" applyAlignment="1">
      <alignment horizontal="center" vertical="center"/>
    </xf>
    <xf numFmtId="10" fontId="5" fillId="0" borderId="20" xfId="1" applyNumberFormat="1" applyFont="1" applyFill="1" applyBorder="1" applyAlignment="1">
      <alignment horizontal="center" vertical="center" wrapText="1"/>
    </xf>
    <xf numFmtId="10" fontId="5" fillId="0" borderId="21" xfId="1" applyNumberFormat="1" applyFont="1" applyFill="1" applyBorder="1" applyAlignment="1">
      <alignment horizontal="center" vertical="center" wrapText="1"/>
    </xf>
    <xf numFmtId="9" fontId="2" fillId="5" borderId="10" xfId="1" applyNumberFormat="1" applyFont="1" applyFill="1" applyBorder="1" applyAlignment="1">
      <alignment horizontal="center" vertical="center" wrapText="1"/>
    </xf>
    <xf numFmtId="9" fontId="2" fillId="0" borderId="15" xfId="1" applyFont="1" applyBorder="1" applyAlignment="1">
      <alignment horizontal="center" vertical="center" wrapText="1"/>
    </xf>
    <xf numFmtId="9" fontId="2" fillId="0" borderId="19" xfId="1" applyFont="1" applyBorder="1" applyAlignment="1">
      <alignment horizontal="center" vertical="center" wrapText="1"/>
    </xf>
    <xf numFmtId="9" fontId="2" fillId="0" borderId="14" xfId="1" applyFont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right" vertical="center" wrapText="1"/>
    </xf>
    <xf numFmtId="10" fontId="2" fillId="5" borderId="8" xfId="1" applyNumberFormat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9" fontId="2" fillId="0" borderId="15" xfId="1" applyFont="1" applyFill="1" applyBorder="1" applyAlignment="1">
      <alignment horizontal="center" vertical="center" wrapText="1"/>
    </xf>
    <xf numFmtId="9" fontId="2" fillId="0" borderId="11" xfId="1" applyFont="1" applyFill="1" applyBorder="1" applyAlignment="1">
      <alignment horizontal="center" vertical="center" wrapText="1"/>
    </xf>
    <xf numFmtId="0" fontId="2" fillId="0" borderId="12" xfId="2" applyNumberFormat="1" applyFont="1" applyBorder="1" applyAlignment="1">
      <alignment horizontal="left" vertical="top" wrapText="1"/>
    </xf>
    <xf numFmtId="0" fontId="2" fillId="0" borderId="4" xfId="2" applyNumberFormat="1" applyFont="1" applyBorder="1" applyAlignment="1">
      <alignment horizontal="left" vertical="top" wrapText="1"/>
    </xf>
    <xf numFmtId="0" fontId="5" fillId="0" borderId="10" xfId="0" applyFont="1" applyBorder="1"/>
    <xf numFmtId="173" fontId="2" fillId="0" borderId="15" xfId="2" applyNumberFormat="1" applyFont="1" applyFill="1" applyBorder="1" applyAlignment="1">
      <alignment horizontal="center" vertical="center" wrapText="1"/>
    </xf>
    <xf numFmtId="173" fontId="2" fillId="0" borderId="11" xfId="2" applyNumberFormat="1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8" fontId="5" fillId="0" borderId="12" xfId="3" applyNumberFormat="1" applyFont="1" applyFill="1" applyBorder="1" applyAlignment="1">
      <alignment horizontal="center" vertical="center"/>
    </xf>
    <xf numFmtId="168" fontId="5" fillId="0" borderId="4" xfId="3" applyNumberFormat="1" applyFont="1" applyFill="1" applyBorder="1" applyAlignment="1">
      <alignment horizontal="center" vertical="center"/>
    </xf>
    <xf numFmtId="10" fontId="5" fillId="0" borderId="10" xfId="1" applyNumberFormat="1" applyFont="1" applyBorder="1"/>
    <xf numFmtId="3" fontId="2" fillId="0" borderId="15" xfId="2" applyNumberFormat="1" applyFont="1" applyFill="1" applyBorder="1" applyAlignment="1">
      <alignment horizontal="center" vertical="center" wrapText="1"/>
    </xf>
    <xf numFmtId="3" fontId="2" fillId="0" borderId="11" xfId="2" applyNumberFormat="1" applyFont="1" applyFill="1" applyBorder="1" applyAlignment="1">
      <alignment horizontal="center" vertical="center" wrapText="1"/>
    </xf>
    <xf numFmtId="0" fontId="3" fillId="5" borderId="20" xfId="2" applyFont="1" applyFill="1" applyBorder="1" applyAlignment="1">
      <alignment horizontal="left" vertical="top" wrapText="1"/>
    </xf>
    <xf numFmtId="0" fontId="3" fillId="5" borderId="21" xfId="2" applyFont="1" applyFill="1" applyBorder="1" applyAlignment="1">
      <alignment horizontal="left" vertical="top" wrapText="1"/>
    </xf>
    <xf numFmtId="0" fontId="3" fillId="5" borderId="3" xfId="2" applyFont="1" applyFill="1" applyBorder="1" applyAlignment="1">
      <alignment horizontal="left" vertical="top" wrapText="1"/>
    </xf>
    <xf numFmtId="0" fontId="2" fillId="6" borderId="12" xfId="2" applyFont="1" applyFill="1" applyBorder="1" applyAlignment="1">
      <alignment horizontal="left" vertical="top" wrapText="1"/>
    </xf>
    <xf numFmtId="0" fontId="2" fillId="6" borderId="4" xfId="2" applyFont="1" applyFill="1" applyBorder="1" applyAlignment="1">
      <alignment horizontal="left" vertical="top" wrapText="1"/>
    </xf>
    <xf numFmtId="0" fontId="2" fillId="5" borderId="10" xfId="2" applyFont="1" applyFill="1" applyBorder="1" applyAlignment="1">
      <alignment horizontal="center" vertical="center" wrapText="1"/>
    </xf>
    <xf numFmtId="0" fontId="3" fillId="5" borderId="20" xfId="2" applyFont="1" applyFill="1" applyBorder="1" applyAlignment="1">
      <alignment horizontal="left" vertical="center" wrapText="1"/>
    </xf>
    <xf numFmtId="0" fontId="3" fillId="5" borderId="21" xfId="2" applyFont="1" applyFill="1" applyBorder="1" applyAlignment="1">
      <alignment horizontal="left" vertical="center" wrapText="1"/>
    </xf>
    <xf numFmtId="0" fontId="3" fillId="5" borderId="3" xfId="2" applyFont="1" applyFill="1" applyBorder="1" applyAlignment="1">
      <alignment horizontal="left" vertical="center" wrapText="1"/>
    </xf>
    <xf numFmtId="3" fontId="2" fillId="0" borderId="12" xfId="3" applyNumberFormat="1" applyFont="1" applyFill="1" applyBorder="1" applyAlignment="1">
      <alignment horizontal="center" vertical="center" wrapText="1"/>
    </xf>
    <xf numFmtId="3" fontId="2" fillId="0" borderId="4" xfId="3" applyNumberFormat="1" applyFon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/>
    </xf>
    <xf numFmtId="10" fontId="1" fillId="0" borderId="10" xfId="1" applyNumberFormat="1" applyFont="1" applyBorder="1"/>
    <xf numFmtId="0" fontId="3" fillId="5" borderId="10" xfId="2" applyFont="1" applyFill="1" applyBorder="1" applyAlignment="1">
      <alignment horizontal="left" vertical="top" wrapText="1"/>
    </xf>
    <xf numFmtId="0" fontId="3" fillId="0" borderId="10" xfId="2" applyFont="1" applyBorder="1" applyAlignment="1">
      <alignment horizontal="center" vertical="top" wrapText="1"/>
    </xf>
  </cellXfs>
  <cellStyles count="26"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Millares" xfId="3" builtinId="3"/>
    <cellStyle name="Millares [0]" xfId="25" builtinId="6"/>
    <cellStyle name="Millares [0] 2" xfId="6"/>
    <cellStyle name="Moneda" xfId="9" builtinId="4"/>
    <cellStyle name="Moneda [0]" xfId="24" builtinId="7"/>
    <cellStyle name="Moneda 2" xfId="10"/>
    <cellStyle name="Moneda 2 2" xfId="11"/>
    <cellStyle name="Normal" xfId="0" builtinId="0"/>
    <cellStyle name="Normal 2" xfId="2"/>
    <cellStyle name="Normal 2 2" xfId="7"/>
    <cellStyle name="Normal 3" xfId="4"/>
    <cellStyle name="Normal 3 2" xfId="8"/>
    <cellStyle name="Porcentaje" xfId="1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1277303</xdr:colOff>
      <xdr:row>0</xdr:row>
      <xdr:rowOff>131584</xdr:rowOff>
    </xdr:from>
    <xdr:to>
      <xdr:col>1</xdr:col>
      <xdr:colOff>1266266</xdr:colOff>
      <xdr:row>2</xdr:row>
      <xdr:rowOff>112059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3" y="131584"/>
          <a:ext cx="2017228" cy="608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2</xdr:col>
      <xdr:colOff>333375</xdr:colOff>
      <xdr:row>2</xdr:row>
      <xdr:rowOff>76200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38100"/>
          <a:ext cx="2133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986518</xdr:colOff>
      <xdr:row>0</xdr:row>
      <xdr:rowOff>90715</xdr:rowOff>
    </xdr:from>
    <xdr:to>
      <xdr:col>2</xdr:col>
      <xdr:colOff>340179</xdr:colOff>
      <xdr:row>2</xdr:row>
      <xdr:rowOff>133654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8" y="90715"/>
          <a:ext cx="2134961" cy="3858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986518</xdr:colOff>
      <xdr:row>0</xdr:row>
      <xdr:rowOff>90715</xdr:rowOff>
    </xdr:from>
    <xdr:to>
      <xdr:col>2</xdr:col>
      <xdr:colOff>340179</xdr:colOff>
      <xdr:row>2</xdr:row>
      <xdr:rowOff>133654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8" y="90715"/>
          <a:ext cx="2134961" cy="385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1098177</xdr:colOff>
      <xdr:row>0</xdr:row>
      <xdr:rowOff>22412</xdr:rowOff>
    </xdr:from>
    <xdr:to>
      <xdr:col>1</xdr:col>
      <xdr:colOff>1602442</xdr:colOff>
      <xdr:row>2</xdr:row>
      <xdr:rowOff>123265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177" y="190500"/>
          <a:ext cx="2050677" cy="537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1</xdr:col>
      <xdr:colOff>1346906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2147006" cy="383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2</xdr:col>
      <xdr:colOff>335548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2135773" cy="383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123265</xdr:rowOff>
    </xdr:from>
    <xdr:to>
      <xdr:col>2</xdr:col>
      <xdr:colOff>247649</xdr:colOff>
      <xdr:row>2</xdr:row>
      <xdr:rowOff>23596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287" y="123265"/>
          <a:ext cx="1977837" cy="309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103255</xdr:colOff>
      <xdr:row>0</xdr:row>
      <xdr:rowOff>66436</xdr:rowOff>
    </xdr:from>
    <xdr:to>
      <xdr:col>1</xdr:col>
      <xdr:colOff>1475975</xdr:colOff>
      <xdr:row>1</xdr:row>
      <xdr:rowOff>164887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005" y="66436"/>
          <a:ext cx="1372720" cy="343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1129394</xdr:colOff>
      <xdr:row>0</xdr:row>
      <xdr:rowOff>66436</xdr:rowOff>
    </xdr:from>
    <xdr:to>
      <xdr:col>2</xdr:col>
      <xdr:colOff>612321</xdr:colOff>
      <xdr:row>2</xdr:row>
      <xdr:rowOff>149679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4" y="66436"/>
          <a:ext cx="2394856" cy="5050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38100</xdr:rowOff>
    </xdr:from>
    <xdr:to>
      <xdr:col>2</xdr:col>
      <xdr:colOff>335548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07" y="38100"/>
          <a:ext cx="1982012" cy="394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959462</xdr:colOff>
      <xdr:row>1</xdr:row>
      <xdr:rowOff>20790</xdr:rowOff>
    </xdr:from>
    <xdr:to>
      <xdr:col>2</xdr:col>
      <xdr:colOff>108857</xdr:colOff>
      <xdr:row>3</xdr:row>
      <xdr:rowOff>149678</xdr:rowOff>
    </xdr:to>
    <xdr:pic>
      <xdr:nvPicPr>
        <xdr:cNvPr id="2" name="2 Imagen" descr="telemedelli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62" y="184076"/>
          <a:ext cx="2170181" cy="509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1108983</xdr:colOff>
      <xdr:row>0</xdr:row>
      <xdr:rowOff>24493</xdr:rowOff>
    </xdr:from>
    <xdr:to>
      <xdr:col>2</xdr:col>
      <xdr:colOff>1</xdr:colOff>
      <xdr:row>2</xdr:row>
      <xdr:rowOff>64711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983" y="24493"/>
          <a:ext cx="1598839" cy="394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D33"/>
  <sheetViews>
    <sheetView showGridLines="0" workbookViewId="0">
      <selection activeCell="C27" sqref="C27"/>
    </sheetView>
  </sheetViews>
  <sheetFormatPr baseColWidth="10" defaultColWidth="10.85546875" defaultRowHeight="15" x14ac:dyDescent="0.25"/>
  <cols>
    <col min="1" max="1" width="10.85546875" style="10"/>
    <col min="2" max="2" width="30.28515625" style="10" customWidth="1"/>
    <col min="3" max="3" width="25.140625" style="10" customWidth="1"/>
    <col min="4" max="4" width="23.140625" style="10" customWidth="1"/>
    <col min="5" max="16384" width="10.85546875" style="10"/>
  </cols>
  <sheetData>
    <row r="2" spans="2:4" ht="31.5" customHeight="1" x14ac:dyDescent="0.25">
      <c r="B2" s="321" t="s">
        <v>127</v>
      </c>
      <c r="C2" s="321"/>
      <c r="D2" s="321"/>
    </row>
    <row r="3" spans="2:4" x14ac:dyDescent="0.25">
      <c r="B3" s="9" t="s">
        <v>141</v>
      </c>
      <c r="C3" s="9" t="s">
        <v>129</v>
      </c>
      <c r="D3" s="9" t="s">
        <v>25</v>
      </c>
    </row>
    <row r="4" spans="2:4" ht="30" x14ac:dyDescent="0.25">
      <c r="B4" s="8" t="s">
        <v>128</v>
      </c>
      <c r="C4" s="8" t="s">
        <v>130</v>
      </c>
      <c r="D4" s="8" t="s">
        <v>345</v>
      </c>
    </row>
    <row r="5" spans="2:4" x14ac:dyDescent="0.25">
      <c r="B5" s="11"/>
      <c r="C5" s="11"/>
      <c r="D5" s="11"/>
    </row>
    <row r="6" spans="2:4" x14ac:dyDescent="0.25">
      <c r="B6" s="11"/>
      <c r="C6" s="11"/>
      <c r="D6" s="11"/>
    </row>
    <row r="7" spans="2:4" x14ac:dyDescent="0.25">
      <c r="B7" s="11"/>
      <c r="C7" s="11"/>
      <c r="D7" s="11"/>
    </row>
    <row r="8" spans="2:4" x14ac:dyDescent="0.25">
      <c r="B8" s="11"/>
      <c r="C8" s="11"/>
      <c r="D8" s="11"/>
    </row>
    <row r="9" spans="2:4" x14ac:dyDescent="0.25">
      <c r="B9" s="11"/>
      <c r="C9" s="11"/>
      <c r="D9" s="11"/>
    </row>
    <row r="10" spans="2:4" x14ac:dyDescent="0.25">
      <c r="B10" s="11"/>
      <c r="C10" s="11"/>
      <c r="D10" s="11"/>
    </row>
    <row r="11" spans="2:4" x14ac:dyDescent="0.25">
      <c r="B11" s="11"/>
      <c r="C11" s="11"/>
      <c r="D11" s="11"/>
    </row>
    <row r="12" spans="2:4" x14ac:dyDescent="0.25">
      <c r="B12" s="11"/>
      <c r="C12" s="11"/>
      <c r="D12" s="11"/>
    </row>
    <row r="13" spans="2:4" x14ac:dyDescent="0.25">
      <c r="B13" s="11"/>
      <c r="C13" s="11"/>
      <c r="D13" s="11"/>
    </row>
    <row r="14" spans="2:4" x14ac:dyDescent="0.25">
      <c r="B14" s="11"/>
      <c r="C14" s="11"/>
      <c r="D14" s="11"/>
    </row>
    <row r="15" spans="2:4" x14ac:dyDescent="0.25">
      <c r="B15" s="11"/>
      <c r="C15" s="11"/>
      <c r="D15" s="11"/>
    </row>
    <row r="16" spans="2:4" x14ac:dyDescent="0.25">
      <c r="B16" s="11"/>
      <c r="C16" s="11"/>
      <c r="D16" s="11"/>
    </row>
    <row r="17" spans="2:4" x14ac:dyDescent="0.25">
      <c r="B17" s="11"/>
      <c r="C17" s="11"/>
      <c r="D17" s="11"/>
    </row>
    <row r="18" spans="2:4" x14ac:dyDescent="0.25">
      <c r="B18" s="11"/>
      <c r="C18" s="11"/>
      <c r="D18" s="11"/>
    </row>
    <row r="19" spans="2:4" x14ac:dyDescent="0.25">
      <c r="B19" s="11"/>
      <c r="D19" s="11"/>
    </row>
    <row r="20" spans="2:4" x14ac:dyDescent="0.25">
      <c r="B20" s="11"/>
    </row>
    <row r="21" spans="2:4" x14ac:dyDescent="0.25">
      <c r="B21" s="11"/>
    </row>
    <row r="22" spans="2:4" x14ac:dyDescent="0.25">
      <c r="B22" s="11"/>
    </row>
    <row r="23" spans="2:4" x14ac:dyDescent="0.25">
      <c r="B23" s="11"/>
    </row>
    <row r="24" spans="2:4" x14ac:dyDescent="0.25">
      <c r="B24" s="11"/>
    </row>
    <row r="25" spans="2:4" x14ac:dyDescent="0.25">
      <c r="B25" s="11"/>
    </row>
    <row r="26" spans="2:4" x14ac:dyDescent="0.25">
      <c r="B26" s="11"/>
    </row>
    <row r="27" spans="2:4" x14ac:dyDescent="0.25">
      <c r="B27" s="11"/>
    </row>
    <row r="28" spans="2:4" x14ac:dyDescent="0.25">
      <c r="B28" s="11"/>
    </row>
    <row r="29" spans="2:4" x14ac:dyDescent="0.25">
      <c r="B29" s="11"/>
    </row>
    <row r="30" spans="2:4" x14ac:dyDescent="0.25">
      <c r="B30" s="11"/>
    </row>
    <row r="31" spans="2:4" x14ac:dyDescent="0.25">
      <c r="B31" s="11"/>
    </row>
    <row r="32" spans="2:4" x14ac:dyDescent="0.25">
      <c r="B32" s="11"/>
    </row>
    <row r="33" spans="2:2" x14ac:dyDescent="0.25">
      <c r="B33" s="11"/>
    </row>
  </sheetData>
  <mergeCells count="1">
    <mergeCell ref="B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62"/>
  <sheetViews>
    <sheetView showGridLines="0" zoomScale="70" zoomScaleNormal="70" zoomScalePageLayoutView="7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22.140625" style="13" customWidth="1"/>
    <col min="2" max="2" width="23" style="1" customWidth="1"/>
    <col min="3" max="3" width="10.5703125" style="1" customWidth="1"/>
    <col min="4" max="4" width="16.42578125" style="1" customWidth="1"/>
    <col min="5" max="5" width="20.7109375" style="1" customWidth="1"/>
    <col min="6" max="6" width="7.7109375" style="1" customWidth="1"/>
    <col min="7" max="7" width="18.7109375" style="1" customWidth="1"/>
    <col min="8" max="8" width="17.7109375" style="1" customWidth="1"/>
    <col min="9" max="9" width="40.7109375" style="1" customWidth="1"/>
    <col min="10" max="10" width="13.140625" style="1" customWidth="1"/>
    <col min="11" max="11" width="28" style="1" customWidth="1"/>
    <col min="12" max="12" width="14" style="272" customWidth="1"/>
    <col min="13" max="13" width="10.7109375" style="1" customWidth="1"/>
    <col min="14" max="14" width="10" style="1" customWidth="1"/>
    <col min="15" max="15" width="13.42578125" style="1" customWidth="1"/>
    <col min="16" max="16" width="13.5703125" style="1" customWidth="1"/>
    <col min="17" max="17" width="13.42578125" style="1" customWidth="1"/>
    <col min="18" max="18" width="14.140625" style="1" customWidth="1"/>
    <col min="19" max="19" width="15.140625" style="1" customWidth="1"/>
    <col min="20" max="20" width="14.42578125" style="1" customWidth="1"/>
    <col min="21" max="21" width="16.42578125" style="1" customWidth="1"/>
    <col min="22" max="25" width="27.140625" style="13" customWidth="1"/>
    <col min="26" max="26" width="5.42578125" style="13" customWidth="1"/>
    <col min="27" max="30" width="0" style="13" hidden="1" customWidth="1"/>
    <col min="31" max="16384" width="11.42578125" style="13" hidden="1"/>
  </cols>
  <sheetData>
    <row r="1" spans="1:25" ht="12.75" x14ac:dyDescent="0.2">
      <c r="A1" s="462"/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4"/>
    </row>
    <row r="2" spans="1:25" ht="13.5" customHeight="1" x14ac:dyDescent="0.2">
      <c r="A2" s="326"/>
      <c r="B2" s="326"/>
      <c r="C2" s="326"/>
      <c r="D2" s="326"/>
      <c r="E2" s="349" t="s">
        <v>0</v>
      </c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1"/>
    </row>
    <row r="3" spans="1:25" ht="15.75" customHeight="1" x14ac:dyDescent="0.2">
      <c r="A3" s="326"/>
      <c r="B3" s="326"/>
      <c r="C3" s="326"/>
      <c r="D3" s="326"/>
      <c r="E3" s="352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4"/>
    </row>
    <row r="4" spans="1:25" ht="15.75" customHeight="1" x14ac:dyDescent="0.2">
      <c r="A4" s="326"/>
      <c r="B4" s="326"/>
      <c r="C4" s="326"/>
      <c r="D4" s="326"/>
      <c r="E4" s="355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7"/>
    </row>
    <row r="5" spans="1:25" ht="12.75" x14ac:dyDescent="0.2">
      <c r="A5" s="360" t="s">
        <v>40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5" ht="12.75" x14ac:dyDescent="0.2">
      <c r="A6" s="360" t="s">
        <v>118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5" ht="12.75" x14ac:dyDescent="0.2">
      <c r="A7" s="360" t="s">
        <v>414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</row>
    <row r="8" spans="1:25" ht="15.75" customHeight="1" x14ac:dyDescent="0.2">
      <c r="A8" s="326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</row>
    <row r="9" spans="1:25" ht="15.75" customHeight="1" x14ac:dyDescent="0.2">
      <c r="A9" s="358" t="s">
        <v>2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41" t="s">
        <v>61</v>
      </c>
      <c r="P9" s="341"/>
      <c r="Q9" s="341"/>
      <c r="R9" s="341"/>
      <c r="S9" s="67"/>
      <c r="T9" s="67"/>
      <c r="U9" s="67"/>
      <c r="V9" s="344" t="s">
        <v>4</v>
      </c>
      <c r="W9" s="344"/>
      <c r="X9" s="344"/>
      <c r="Y9" s="344"/>
    </row>
    <row r="10" spans="1:25" ht="15.75" customHeight="1" x14ac:dyDescent="0.2">
      <c r="A10" s="341" t="s">
        <v>137</v>
      </c>
      <c r="B10" s="341" t="s">
        <v>362</v>
      </c>
      <c r="C10" s="343" t="s">
        <v>5</v>
      </c>
      <c r="D10" s="341" t="s">
        <v>6</v>
      </c>
      <c r="E10" s="341"/>
      <c r="F10" s="343" t="s">
        <v>5</v>
      </c>
      <c r="G10" s="341" t="s">
        <v>7</v>
      </c>
      <c r="H10" s="487" t="s">
        <v>45</v>
      </c>
      <c r="I10" s="487"/>
      <c r="J10" s="487"/>
      <c r="K10" s="487"/>
      <c r="L10" s="487"/>
      <c r="M10" s="487"/>
      <c r="N10" s="343" t="s">
        <v>5</v>
      </c>
      <c r="O10" s="327" t="s">
        <v>371</v>
      </c>
      <c r="P10" s="327" t="s">
        <v>384</v>
      </c>
      <c r="Q10" s="327" t="s">
        <v>385</v>
      </c>
      <c r="R10" s="327" t="s">
        <v>386</v>
      </c>
      <c r="S10" s="343" t="s">
        <v>412</v>
      </c>
      <c r="T10" s="343" t="s">
        <v>9</v>
      </c>
      <c r="U10" s="343" t="s">
        <v>10</v>
      </c>
      <c r="V10" s="327" t="s">
        <v>11</v>
      </c>
      <c r="W10" s="327" t="s">
        <v>12</v>
      </c>
      <c r="X10" s="327" t="s">
        <v>13</v>
      </c>
      <c r="Y10" s="327" t="s">
        <v>14</v>
      </c>
    </row>
    <row r="11" spans="1:25" ht="42.75" customHeight="1" x14ac:dyDescent="0.2">
      <c r="A11" s="341"/>
      <c r="B11" s="341"/>
      <c r="C11" s="343"/>
      <c r="D11" s="341"/>
      <c r="E11" s="341"/>
      <c r="F11" s="343"/>
      <c r="G11" s="341"/>
      <c r="H11" s="67" t="s">
        <v>47</v>
      </c>
      <c r="I11" s="58" t="s">
        <v>46</v>
      </c>
      <c r="J11" s="58" t="s">
        <v>51</v>
      </c>
      <c r="K11" s="67" t="s">
        <v>35</v>
      </c>
      <c r="L11" s="269" t="s">
        <v>52</v>
      </c>
      <c r="M11" s="58" t="s">
        <v>56</v>
      </c>
      <c r="N11" s="343"/>
      <c r="O11" s="327"/>
      <c r="P11" s="327"/>
      <c r="Q11" s="327"/>
      <c r="R11" s="327"/>
      <c r="S11" s="343"/>
      <c r="T11" s="343"/>
      <c r="U11" s="343"/>
      <c r="V11" s="486"/>
      <c r="W11" s="327"/>
      <c r="X11" s="486"/>
      <c r="Y11" s="486"/>
    </row>
    <row r="12" spans="1:25" ht="38.25" x14ac:dyDescent="0.2">
      <c r="A12" s="452" t="str">
        <f>+'Plan de desarrollo'!B4</f>
        <v>DIMENSIÓN 1: Creemos en la cultura ciudadana</v>
      </c>
      <c r="B12" s="383" t="s">
        <v>22</v>
      </c>
      <c r="C12" s="372">
        <f>+SUM(F12:F16)</f>
        <v>2.6000000000000002E-2</v>
      </c>
      <c r="D12" s="489" t="s">
        <v>41</v>
      </c>
      <c r="E12" s="489"/>
      <c r="F12" s="333">
        <f>+SUM(N12:N14)</f>
        <v>1.6E-2</v>
      </c>
      <c r="G12" s="330" t="s">
        <v>42</v>
      </c>
      <c r="H12" s="63" t="s">
        <v>48</v>
      </c>
      <c r="I12" s="69" t="s">
        <v>96</v>
      </c>
      <c r="J12" s="69" t="s">
        <v>53</v>
      </c>
      <c r="K12" s="69" t="s">
        <v>95</v>
      </c>
      <c r="L12" s="271" t="s">
        <v>34</v>
      </c>
      <c r="M12" s="86">
        <v>1</v>
      </c>
      <c r="N12" s="87">
        <v>6.0000000000000001E-3</v>
      </c>
      <c r="O12" s="30"/>
      <c r="P12" s="30"/>
      <c r="Q12" s="30"/>
      <c r="R12" s="77"/>
      <c r="S12" s="88">
        <f>SUM(O12:R12)/M12</f>
        <v>0</v>
      </c>
      <c r="T12" s="88">
        <f>IF(S12&lt;=100%,S12*N12,N12)</f>
        <v>0</v>
      </c>
      <c r="U12" s="162">
        <f>(T12/C20)*100</f>
        <v>0</v>
      </c>
      <c r="V12" s="180"/>
      <c r="W12" s="180"/>
      <c r="X12" s="180"/>
      <c r="Y12" s="249"/>
    </row>
    <row r="13" spans="1:25" ht="51" x14ac:dyDescent="0.2">
      <c r="A13" s="453"/>
      <c r="B13" s="384"/>
      <c r="C13" s="373"/>
      <c r="D13" s="489"/>
      <c r="E13" s="489"/>
      <c r="F13" s="333"/>
      <c r="G13" s="330"/>
      <c r="H13" s="63" t="s">
        <v>49</v>
      </c>
      <c r="I13" s="25" t="s">
        <v>354</v>
      </c>
      <c r="J13" s="25" t="s">
        <v>53</v>
      </c>
      <c r="K13" s="25" t="s">
        <v>97</v>
      </c>
      <c r="L13" s="271" t="s">
        <v>34</v>
      </c>
      <c r="M13" s="76">
        <v>1</v>
      </c>
      <c r="N13" s="87">
        <v>5.0000000000000001E-3</v>
      </c>
      <c r="O13" s="30"/>
      <c r="P13" s="30"/>
      <c r="Q13" s="176"/>
      <c r="R13" s="34"/>
      <c r="S13" s="88">
        <f>SUM(O13:R13)/M13</f>
        <v>0</v>
      </c>
      <c r="T13" s="88">
        <f>IF(S13&lt;=100%,S13*N13,N13)</f>
        <v>0</v>
      </c>
      <c r="U13" s="162">
        <f>(T13/C20)*100</f>
        <v>0</v>
      </c>
      <c r="V13" s="319"/>
      <c r="W13" s="319"/>
      <c r="X13" s="250"/>
      <c r="Y13" s="250"/>
    </row>
    <row r="14" spans="1:25" ht="67.5" customHeight="1" x14ac:dyDescent="0.2">
      <c r="A14" s="453"/>
      <c r="B14" s="384"/>
      <c r="C14" s="373"/>
      <c r="D14" s="489"/>
      <c r="E14" s="489"/>
      <c r="F14" s="333"/>
      <c r="G14" s="330"/>
      <c r="H14" s="25" t="s">
        <v>43</v>
      </c>
      <c r="I14" s="25" t="s">
        <v>50</v>
      </c>
      <c r="J14" s="25" t="s">
        <v>39</v>
      </c>
      <c r="K14" s="25" t="s">
        <v>98</v>
      </c>
      <c r="L14" s="271" t="s">
        <v>34</v>
      </c>
      <c r="M14" s="89">
        <v>1</v>
      </c>
      <c r="N14" s="87">
        <v>5.0000000000000001E-3</v>
      </c>
      <c r="O14" s="30"/>
      <c r="P14" s="30"/>
      <c r="Q14" s="89"/>
      <c r="R14" s="77"/>
      <c r="S14" s="88">
        <f>SUM(O14:R14)/M14</f>
        <v>0</v>
      </c>
      <c r="T14" s="88">
        <f>IF(S14&lt;=100%,S14*N14,N14)</f>
        <v>0</v>
      </c>
      <c r="U14" s="162">
        <f>(T14/C20)*100</f>
        <v>0</v>
      </c>
      <c r="V14" s="180"/>
      <c r="W14" s="180"/>
      <c r="X14" s="180"/>
      <c r="Y14" s="180"/>
    </row>
    <row r="15" spans="1:25" ht="56.25" customHeight="1" x14ac:dyDescent="0.2">
      <c r="A15" s="453"/>
      <c r="B15" s="384"/>
      <c r="C15" s="373"/>
      <c r="D15" s="489" t="s">
        <v>44</v>
      </c>
      <c r="E15" s="489"/>
      <c r="F15" s="333">
        <f>+SUM(N15:N16)</f>
        <v>0.01</v>
      </c>
      <c r="G15" s="330" t="s">
        <v>42</v>
      </c>
      <c r="H15" s="63" t="s">
        <v>60</v>
      </c>
      <c r="I15" s="26" t="s">
        <v>55</v>
      </c>
      <c r="J15" s="26" t="s">
        <v>53</v>
      </c>
      <c r="K15" s="25" t="s">
        <v>99</v>
      </c>
      <c r="L15" s="271" t="s">
        <v>34</v>
      </c>
      <c r="M15" s="77">
        <v>1</v>
      </c>
      <c r="N15" s="87">
        <v>5.0000000000000001E-3</v>
      </c>
      <c r="O15" s="30"/>
      <c r="P15" s="30"/>
      <c r="Q15" s="177"/>
      <c r="R15" s="34"/>
      <c r="S15" s="88">
        <f>SUM(O15:R15)/M15</f>
        <v>0</v>
      </c>
      <c r="T15" s="88">
        <f>IF(S15&lt;=100%,S15*N15,N15)</f>
        <v>0</v>
      </c>
      <c r="U15" s="162">
        <f>(T15/C20)*100</f>
        <v>0</v>
      </c>
      <c r="V15" s="318"/>
      <c r="W15" s="318"/>
      <c r="X15" s="180"/>
      <c r="Y15" s="196"/>
    </row>
    <row r="16" spans="1:25" ht="51" x14ac:dyDescent="0.2">
      <c r="A16" s="454"/>
      <c r="B16" s="385"/>
      <c r="C16" s="374"/>
      <c r="D16" s="489"/>
      <c r="E16" s="489"/>
      <c r="F16" s="333"/>
      <c r="G16" s="330"/>
      <c r="H16" s="63" t="s">
        <v>59</v>
      </c>
      <c r="I16" s="26" t="s">
        <v>58</v>
      </c>
      <c r="J16" s="25" t="s">
        <v>53</v>
      </c>
      <c r="K16" s="25" t="s">
        <v>57</v>
      </c>
      <c r="L16" s="271" t="s">
        <v>34</v>
      </c>
      <c r="M16" s="90">
        <v>1</v>
      </c>
      <c r="N16" s="87">
        <v>5.0000000000000001E-3</v>
      </c>
      <c r="O16" s="30"/>
      <c r="P16" s="30"/>
      <c r="Q16" s="90"/>
      <c r="R16" s="34"/>
      <c r="S16" s="88">
        <f>SUM(O16:R16)/M16</f>
        <v>0</v>
      </c>
      <c r="T16" s="88">
        <f>IF(S16&lt;=100%,S16*N16,N16)</f>
        <v>0</v>
      </c>
      <c r="U16" s="162">
        <f>(T16/C20)*100</f>
        <v>0</v>
      </c>
      <c r="V16" s="178"/>
      <c r="W16" s="178"/>
      <c r="X16" s="178"/>
      <c r="Y16" s="156"/>
    </row>
    <row r="17" spans="1:25" ht="17.25" customHeight="1" x14ac:dyDescent="0.2">
      <c r="A17" s="488" t="s">
        <v>16</v>
      </c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260">
        <f>SUM(U12:U16)</f>
        <v>0</v>
      </c>
      <c r="V17" s="326"/>
      <c r="W17" s="326"/>
      <c r="X17" s="326"/>
      <c r="Y17" s="326"/>
    </row>
    <row r="18" spans="1:25" ht="12.75" x14ac:dyDescent="0.2"/>
    <row r="19" spans="1:25" ht="36" x14ac:dyDescent="0.2">
      <c r="C19" s="146">
        <f>+C12</f>
        <v>2.6000000000000002E-2</v>
      </c>
      <c r="Y19" s="120" t="s">
        <v>315</v>
      </c>
    </row>
    <row r="20" spans="1:25" ht="12.75" x14ac:dyDescent="0.2">
      <c r="C20" s="1">
        <f>+C19*100</f>
        <v>2.6</v>
      </c>
    </row>
    <row r="21" spans="1:25" ht="12.75" x14ac:dyDescent="0.2"/>
    <row r="22" spans="1:25" ht="12.75" x14ac:dyDescent="0.2"/>
    <row r="23" spans="1:25" ht="12.75" x14ac:dyDescent="0.2"/>
    <row r="24" spans="1:25" ht="12.75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5" ht="12.75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5" ht="12.75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5" ht="12.75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5" ht="12.75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5" ht="12.75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5" ht="12.75" x14ac:dyDescent="0.2"/>
    <row r="31" spans="1:25" ht="12.75" x14ac:dyDescent="0.2"/>
    <row r="32" spans="1:25" ht="12.75" x14ac:dyDescent="0.2"/>
    <row r="33" spans="17:17" ht="12.75" x14ac:dyDescent="0.2"/>
    <row r="34" spans="17:17" ht="12.75" x14ac:dyDescent="0.2"/>
    <row r="35" spans="17:17" ht="12.75" x14ac:dyDescent="0.2"/>
    <row r="36" spans="17:17" ht="12.75" x14ac:dyDescent="0.2"/>
    <row r="37" spans="17:17" ht="12.75" x14ac:dyDescent="0.2"/>
    <row r="38" spans="17:17" ht="12.75" x14ac:dyDescent="0.2"/>
    <row r="39" spans="17:17" ht="12.75" x14ac:dyDescent="0.2"/>
    <row r="40" spans="17:17" ht="12.75" x14ac:dyDescent="0.2"/>
    <row r="41" spans="17:17" ht="12.75" x14ac:dyDescent="0.2">
      <c r="Q41" s="17"/>
    </row>
    <row r="42" spans="17:17" ht="12.75" x14ac:dyDescent="0.2"/>
    <row r="43" spans="17:17" ht="12.75" x14ac:dyDescent="0.2"/>
    <row r="44" spans="17:17" ht="12.75" x14ac:dyDescent="0.2"/>
    <row r="45" spans="17:17" ht="12.75" x14ac:dyDescent="0.2"/>
    <row r="46" spans="17:17" ht="12.75" x14ac:dyDescent="0.2"/>
    <row r="47" spans="17:17" ht="12.75" x14ac:dyDescent="0.2"/>
    <row r="48" spans="17:17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</sheetData>
  <mergeCells count="40">
    <mergeCell ref="A12:A16"/>
    <mergeCell ref="B12:B16"/>
    <mergeCell ref="C12:C16"/>
    <mergeCell ref="O10:O11"/>
    <mergeCell ref="P10:P11"/>
    <mergeCell ref="G10:G11"/>
    <mergeCell ref="A10:A11"/>
    <mergeCell ref="B10:B11"/>
    <mergeCell ref="C10:C11"/>
    <mergeCell ref="A1:Y1"/>
    <mergeCell ref="A6:Y6"/>
    <mergeCell ref="A7:Y7"/>
    <mergeCell ref="V17:Y17"/>
    <mergeCell ref="G15:G16"/>
    <mergeCell ref="A17:T17"/>
    <mergeCell ref="Y10:Y11"/>
    <mergeCell ref="D12:E14"/>
    <mergeCell ref="F12:F14"/>
    <mergeCell ref="G12:G14"/>
    <mergeCell ref="D15:E16"/>
    <mergeCell ref="F15:F16"/>
    <mergeCell ref="S10:S11"/>
    <mergeCell ref="T10:T11"/>
    <mergeCell ref="U10:U11"/>
    <mergeCell ref="A2:D4"/>
    <mergeCell ref="E2:Y4"/>
    <mergeCell ref="Q10:Q11"/>
    <mergeCell ref="R10:R11"/>
    <mergeCell ref="A5:Y5"/>
    <mergeCell ref="A9:N9"/>
    <mergeCell ref="O9:R9"/>
    <mergeCell ref="D10:E11"/>
    <mergeCell ref="F10:F11"/>
    <mergeCell ref="V10:V11"/>
    <mergeCell ref="W10:W11"/>
    <mergeCell ref="X10:X11"/>
    <mergeCell ref="H10:M10"/>
    <mergeCell ref="N10:N11"/>
    <mergeCell ref="A8:Y8"/>
    <mergeCell ref="V9:Y9"/>
  </mergeCells>
  <pageMargins left="0.7" right="0.7" top="0.75" bottom="0.75" header="0.3" footer="0.3"/>
  <pageSetup orientation="portrait" r:id="rId1"/>
  <ignoredErrors>
    <ignoredError sqref="F12 F1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25"/>
  <sheetViews>
    <sheetView showGridLines="0" zoomScale="70" zoomScaleNormal="70" zoomScalePageLayoutView="80" workbookViewId="0">
      <selection activeCell="K19" sqref="K19"/>
    </sheetView>
  </sheetViews>
  <sheetFormatPr baseColWidth="10" defaultColWidth="10.85546875" defaultRowHeight="12.75" x14ac:dyDescent="0.2"/>
  <cols>
    <col min="1" max="1" width="19.7109375" style="12" customWidth="1"/>
    <col min="2" max="2" width="20.7109375" style="12" customWidth="1"/>
    <col min="3" max="3" width="10.140625" style="12" customWidth="1"/>
    <col min="4" max="4" width="10.85546875" style="12" customWidth="1"/>
    <col min="5" max="5" width="14.42578125" style="12" customWidth="1"/>
    <col min="6" max="6" width="10.140625" style="12" customWidth="1"/>
    <col min="7" max="7" width="14.7109375" style="12" customWidth="1"/>
    <col min="8" max="8" width="20.28515625" style="12" customWidth="1"/>
    <col min="9" max="9" width="31.85546875" style="12" customWidth="1"/>
    <col min="10" max="10" width="11.42578125" style="12" customWidth="1"/>
    <col min="11" max="11" width="25.42578125" style="12" customWidth="1"/>
    <col min="12" max="12" width="13.42578125" style="12" customWidth="1"/>
    <col min="13" max="13" width="16.85546875" style="12" customWidth="1"/>
    <col min="14" max="14" width="10.28515625" style="12" customWidth="1"/>
    <col min="15" max="15" width="13" style="18" customWidth="1"/>
    <col min="16" max="16" width="13.85546875" style="18" customWidth="1"/>
    <col min="17" max="17" width="12.5703125" style="18" customWidth="1"/>
    <col min="18" max="18" width="13.7109375" style="18" customWidth="1"/>
    <col min="19" max="19" width="13" style="18" customWidth="1"/>
    <col min="20" max="20" width="13.85546875" style="18" customWidth="1"/>
    <col min="21" max="21" width="11.85546875" style="18" customWidth="1"/>
    <col min="22" max="22" width="13.28515625" style="18" customWidth="1"/>
    <col min="23" max="23" width="13.5703125" style="18" customWidth="1"/>
    <col min="24" max="24" width="13.85546875" style="18" customWidth="1"/>
    <col min="25" max="25" width="13.42578125" style="18" customWidth="1"/>
    <col min="26" max="26" width="13.140625" style="18" customWidth="1"/>
    <col min="27" max="27" width="13.140625" style="12" customWidth="1"/>
    <col min="28" max="28" width="15.140625" style="12" customWidth="1"/>
    <col min="29" max="29" width="15" style="12" customWidth="1"/>
    <col min="30" max="33" width="29.7109375" style="12" customWidth="1"/>
    <col min="34" max="16384" width="10.85546875" style="12"/>
  </cols>
  <sheetData>
    <row r="1" spans="1:33" ht="13.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</row>
    <row r="2" spans="1:33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</row>
    <row r="3" spans="1:33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</row>
    <row r="4" spans="1:33" x14ac:dyDescent="0.2">
      <c r="A4" s="360" t="s">
        <v>84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</row>
    <row r="5" spans="1:33" x14ac:dyDescent="0.2">
      <c r="A5" s="360" t="s">
        <v>116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>
        <f>SUM(AB16:AB19)</f>
        <v>0</v>
      </c>
      <c r="AE5" s="360"/>
      <c r="AF5" s="360"/>
      <c r="AG5" s="360"/>
    </row>
    <row r="6" spans="1:33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 t="e">
        <f>SUM(#REF!)</f>
        <v>#REF!</v>
      </c>
      <c r="AE6" s="360"/>
      <c r="AF6" s="360"/>
      <c r="AG6" s="360"/>
    </row>
    <row r="7" spans="1:33" ht="15.75" customHeight="1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</row>
    <row r="8" spans="1:33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512" t="s">
        <v>3</v>
      </c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45"/>
      <c r="AB8" s="45"/>
      <c r="AC8" s="45"/>
      <c r="AD8" s="344" t="s">
        <v>4</v>
      </c>
      <c r="AE8" s="344"/>
      <c r="AF8" s="344"/>
      <c r="AG8" s="344"/>
    </row>
    <row r="9" spans="1:33" ht="12.7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437" t="s">
        <v>45</v>
      </c>
      <c r="I9" s="437"/>
      <c r="J9" s="437"/>
      <c r="K9" s="437"/>
      <c r="L9" s="437"/>
      <c r="M9" s="437"/>
      <c r="N9" s="343" t="s">
        <v>5</v>
      </c>
      <c r="O9" s="327" t="s">
        <v>372</v>
      </c>
      <c r="P9" s="327" t="s">
        <v>373</v>
      </c>
      <c r="Q9" s="327" t="s">
        <v>374</v>
      </c>
      <c r="R9" s="327" t="s">
        <v>375</v>
      </c>
      <c r="S9" s="327" t="s">
        <v>376</v>
      </c>
      <c r="T9" s="327" t="s">
        <v>377</v>
      </c>
      <c r="U9" s="327" t="s">
        <v>378</v>
      </c>
      <c r="V9" s="327" t="s">
        <v>379</v>
      </c>
      <c r="W9" s="327" t="s">
        <v>380</v>
      </c>
      <c r="X9" s="327" t="s">
        <v>381</v>
      </c>
      <c r="Y9" s="327" t="s">
        <v>382</v>
      </c>
      <c r="Z9" s="327" t="s">
        <v>383</v>
      </c>
      <c r="AA9" s="343" t="s">
        <v>412</v>
      </c>
      <c r="AB9" s="343" t="s">
        <v>9</v>
      </c>
      <c r="AC9" s="343" t="s">
        <v>10</v>
      </c>
      <c r="AD9" s="327" t="s">
        <v>11</v>
      </c>
      <c r="AE9" s="327" t="s">
        <v>107</v>
      </c>
      <c r="AF9" s="327" t="s">
        <v>13</v>
      </c>
      <c r="AG9" s="327" t="s">
        <v>14</v>
      </c>
    </row>
    <row r="10" spans="1:33" ht="57" customHeight="1" x14ac:dyDescent="0.2">
      <c r="A10" s="341"/>
      <c r="B10" s="341"/>
      <c r="C10" s="343"/>
      <c r="D10" s="341"/>
      <c r="E10" s="341"/>
      <c r="F10" s="343"/>
      <c r="G10" s="341"/>
      <c r="H10" s="43" t="s">
        <v>47</v>
      </c>
      <c r="I10" s="44" t="s">
        <v>46</v>
      </c>
      <c r="J10" s="44" t="s">
        <v>51</v>
      </c>
      <c r="K10" s="43" t="s">
        <v>35</v>
      </c>
      <c r="L10" s="44" t="s">
        <v>52</v>
      </c>
      <c r="M10" s="44" t="s">
        <v>56</v>
      </c>
      <c r="N10" s="343"/>
      <c r="O10" s="328"/>
      <c r="P10" s="328"/>
      <c r="Q10" s="328"/>
      <c r="R10" s="328"/>
      <c r="S10" s="328"/>
      <c r="T10" s="327"/>
      <c r="U10" s="327"/>
      <c r="V10" s="327"/>
      <c r="W10" s="328"/>
      <c r="X10" s="328"/>
      <c r="Y10" s="328"/>
      <c r="Z10" s="328"/>
      <c r="AA10" s="343"/>
      <c r="AB10" s="343"/>
      <c r="AC10" s="343"/>
      <c r="AD10" s="327"/>
      <c r="AE10" s="327"/>
      <c r="AF10" s="327"/>
      <c r="AG10" s="327"/>
    </row>
    <row r="11" spans="1:33" ht="12.75" customHeight="1" x14ac:dyDescent="0.2">
      <c r="A11" s="329" t="s">
        <v>178</v>
      </c>
      <c r="B11" s="329"/>
      <c r="C11" s="329"/>
      <c r="D11" s="329"/>
      <c r="E11" s="329"/>
      <c r="F11" s="329"/>
      <c r="G11" s="329"/>
      <c r="H11" s="330" t="s">
        <v>202</v>
      </c>
      <c r="I11" s="330" t="s">
        <v>203</v>
      </c>
      <c r="J11" s="330" t="s">
        <v>36</v>
      </c>
      <c r="K11" s="330" t="s">
        <v>204</v>
      </c>
      <c r="L11" s="330" t="s">
        <v>34</v>
      </c>
      <c r="M11" s="490">
        <v>200000000</v>
      </c>
      <c r="N11" s="372">
        <f>+F12</f>
        <v>0.01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505">
        <f>+SUM(O11:Z12)/M11</f>
        <v>0</v>
      </c>
      <c r="AB11" s="362">
        <f>IF(AA11&lt;=100%,AA11*N11,N11)</f>
        <v>0</v>
      </c>
      <c r="AC11" s="448">
        <f>(AB11/C23)*100</f>
        <v>0</v>
      </c>
      <c r="AD11" s="434"/>
      <c r="AE11" s="434"/>
      <c r="AF11" s="434"/>
      <c r="AG11" s="434"/>
    </row>
    <row r="12" spans="1:33" ht="76.5" x14ac:dyDescent="0.2">
      <c r="A12" s="39" t="s">
        <v>128</v>
      </c>
      <c r="B12" s="37" t="str">
        <f>'Objetivos Estratégicos'!B7</f>
        <v xml:space="preserve">Incrementar el nivel de eficiencia y eficacia operativa y administrativa en la gestión y ejecución de los procesos. </v>
      </c>
      <c r="C12" s="40">
        <f>+F12</f>
        <v>0.01</v>
      </c>
      <c r="D12" s="330" t="s">
        <v>200</v>
      </c>
      <c r="E12" s="330"/>
      <c r="F12" s="40">
        <v>0.01</v>
      </c>
      <c r="G12" s="36" t="s">
        <v>201</v>
      </c>
      <c r="H12" s="331"/>
      <c r="I12" s="331"/>
      <c r="J12" s="331"/>
      <c r="K12" s="331"/>
      <c r="L12" s="331"/>
      <c r="M12" s="491"/>
      <c r="N12" s="499"/>
      <c r="O12" s="498"/>
      <c r="P12" s="498"/>
      <c r="Q12" s="498"/>
      <c r="R12" s="491"/>
      <c r="S12" s="491"/>
      <c r="T12" s="491"/>
      <c r="U12" s="491"/>
      <c r="V12" s="491"/>
      <c r="W12" s="491"/>
      <c r="X12" s="491"/>
      <c r="Y12" s="502"/>
      <c r="Z12" s="502"/>
      <c r="AA12" s="505"/>
      <c r="AB12" s="363"/>
      <c r="AC12" s="448"/>
      <c r="AD12" s="434"/>
      <c r="AE12" s="434"/>
      <c r="AF12" s="434"/>
      <c r="AG12" s="434"/>
    </row>
    <row r="13" spans="1:33" x14ac:dyDescent="0.2">
      <c r="A13" s="329" t="s">
        <v>259</v>
      </c>
      <c r="B13" s="329"/>
      <c r="C13" s="329"/>
      <c r="D13" s="329"/>
      <c r="E13" s="329"/>
      <c r="F13" s="329"/>
      <c r="G13" s="329"/>
      <c r="H13" s="330" t="s">
        <v>261</v>
      </c>
      <c r="I13" s="330" t="s">
        <v>262</v>
      </c>
      <c r="J13" s="330" t="s">
        <v>36</v>
      </c>
      <c r="K13" s="330" t="s">
        <v>263</v>
      </c>
      <c r="L13" s="330" t="s">
        <v>68</v>
      </c>
      <c r="M13" s="496" t="s">
        <v>361</v>
      </c>
      <c r="N13" s="494">
        <v>5.0000000000000001E-3</v>
      </c>
      <c r="O13" s="506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8"/>
      <c r="AA13" s="448">
        <f>IF(O13&gt;0%,100%,0)</f>
        <v>0</v>
      </c>
      <c r="AB13" s="362">
        <f>IF(AA13&lt;=100%,AA13*N13,N13)</f>
        <v>0</v>
      </c>
      <c r="AC13" s="342">
        <f>(AB13/C23)*100</f>
        <v>0</v>
      </c>
      <c r="AD13" s="434"/>
      <c r="AE13" s="434"/>
      <c r="AF13" s="434"/>
      <c r="AG13" s="434"/>
    </row>
    <row r="14" spans="1:33" ht="38.25" x14ac:dyDescent="0.2">
      <c r="A14" s="339" t="str">
        <f>+A12</f>
        <v>DIMENSIÓN 1: Creemos en la cultura ciudadana</v>
      </c>
      <c r="B14" s="383" t="str">
        <f>+'Objetivos Estratégicos'!B6</f>
        <v xml:space="preserve">Administrar y optimizar eficientemente los recursos financieros acorde con las expectativas de los asociados. </v>
      </c>
      <c r="C14" s="372">
        <f>+F14</f>
        <v>6.0000000000000001E-3</v>
      </c>
      <c r="D14" s="330" t="s">
        <v>260</v>
      </c>
      <c r="E14" s="330"/>
      <c r="F14" s="372">
        <f>+SUM(N13:N15)</f>
        <v>6.0000000000000001E-3</v>
      </c>
      <c r="G14" s="59" t="s">
        <v>201</v>
      </c>
      <c r="H14" s="331"/>
      <c r="I14" s="331"/>
      <c r="J14" s="331"/>
      <c r="K14" s="331"/>
      <c r="L14" s="331"/>
      <c r="M14" s="497"/>
      <c r="N14" s="495"/>
      <c r="O14" s="509"/>
      <c r="P14" s="510"/>
      <c r="Q14" s="510"/>
      <c r="R14" s="510"/>
      <c r="S14" s="510"/>
      <c r="T14" s="510"/>
      <c r="U14" s="510"/>
      <c r="V14" s="510"/>
      <c r="W14" s="510"/>
      <c r="X14" s="510"/>
      <c r="Y14" s="510"/>
      <c r="Z14" s="511"/>
      <c r="AA14" s="448"/>
      <c r="AB14" s="363"/>
      <c r="AC14" s="342"/>
      <c r="AD14" s="434"/>
      <c r="AE14" s="434"/>
      <c r="AF14" s="434"/>
      <c r="AG14" s="434"/>
    </row>
    <row r="15" spans="1:33" ht="75" customHeight="1" x14ac:dyDescent="0.2">
      <c r="A15" s="382"/>
      <c r="B15" s="385"/>
      <c r="C15" s="374"/>
      <c r="D15" s="330" t="s">
        <v>355</v>
      </c>
      <c r="E15" s="330"/>
      <c r="F15" s="374"/>
      <c r="G15" s="63" t="s">
        <v>201</v>
      </c>
      <c r="H15" s="63" t="s">
        <v>356</v>
      </c>
      <c r="I15" s="2" t="s">
        <v>290</v>
      </c>
      <c r="J15" s="63" t="s">
        <v>39</v>
      </c>
      <c r="K15" s="63" t="s">
        <v>291</v>
      </c>
      <c r="L15" s="63" t="s">
        <v>34</v>
      </c>
      <c r="M15" s="280">
        <v>1</v>
      </c>
      <c r="N15" s="68">
        <v>1E-3</v>
      </c>
      <c r="O15" s="400"/>
      <c r="P15" s="401"/>
      <c r="Q15" s="402"/>
      <c r="R15" s="400"/>
      <c r="S15" s="401"/>
      <c r="T15" s="402"/>
      <c r="U15" s="400"/>
      <c r="V15" s="401"/>
      <c r="W15" s="402"/>
      <c r="X15" s="400"/>
      <c r="Y15" s="401"/>
      <c r="Z15" s="402"/>
      <c r="AA15" s="100">
        <f>SUM(O15:Z15)/M15</f>
        <v>0</v>
      </c>
      <c r="AB15" s="66">
        <f>IF(AA15&lt;=100%,AA15*N15,N15)</f>
        <v>0</v>
      </c>
      <c r="AC15" s="99">
        <f>(AB15/C23)*100</f>
        <v>0</v>
      </c>
      <c r="AD15" s="75"/>
      <c r="AE15" s="154"/>
      <c r="AF15" s="179"/>
      <c r="AG15" s="204"/>
    </row>
    <row r="16" spans="1:33" ht="38.25" x14ac:dyDescent="0.2">
      <c r="A16" s="382"/>
      <c r="B16" s="376" t="str">
        <f>'Objetivos Estratégicos'!B7</f>
        <v xml:space="preserve">Incrementar el nivel de eficiencia y eficacia operativa y administrativa en la gestión y ejecución de los procesos. </v>
      </c>
      <c r="C16" s="418">
        <f>+SUM(F16:F17)</f>
        <v>0.01</v>
      </c>
      <c r="D16" s="330" t="s">
        <v>357</v>
      </c>
      <c r="E16" s="330"/>
      <c r="F16" s="38">
        <f>+N16</f>
        <v>5.0000000000000001E-3</v>
      </c>
      <c r="G16" s="330" t="s">
        <v>102</v>
      </c>
      <c r="H16" s="36" t="s">
        <v>88</v>
      </c>
      <c r="I16" s="36" t="s">
        <v>85</v>
      </c>
      <c r="J16" s="330" t="s">
        <v>39</v>
      </c>
      <c r="K16" s="36" t="s">
        <v>101</v>
      </c>
      <c r="L16" s="274" t="s">
        <v>34</v>
      </c>
      <c r="M16" s="52">
        <v>0.9</v>
      </c>
      <c r="N16" s="38">
        <v>5.0000000000000001E-3</v>
      </c>
      <c r="O16" s="492"/>
      <c r="P16" s="493"/>
      <c r="Q16" s="493"/>
      <c r="R16" s="501"/>
      <c r="S16" s="501"/>
      <c r="T16" s="501"/>
      <c r="U16" s="503"/>
      <c r="V16" s="504"/>
      <c r="W16" s="500"/>
      <c r="X16" s="415"/>
      <c r="Y16" s="415"/>
      <c r="Z16" s="415"/>
      <c r="AA16" s="212">
        <f>MAX(O16:Z16)/M16</f>
        <v>0</v>
      </c>
      <c r="AB16" s="40">
        <f>IF(AA16&lt;=100%,AA16*N16,N16)</f>
        <v>0</v>
      </c>
      <c r="AC16" s="372">
        <f>((SUM(AB16:AB19))/C23)*100</f>
        <v>0</v>
      </c>
      <c r="AD16" s="75"/>
      <c r="AE16" s="179"/>
      <c r="AF16" s="35"/>
      <c r="AG16" s="35"/>
    </row>
    <row r="17" spans="1:33" ht="38.25" x14ac:dyDescent="0.2">
      <c r="A17" s="382"/>
      <c r="B17" s="376"/>
      <c r="C17" s="418"/>
      <c r="D17" s="330"/>
      <c r="E17" s="330"/>
      <c r="F17" s="38">
        <f>+N17</f>
        <v>5.0000000000000001E-3</v>
      </c>
      <c r="G17" s="330"/>
      <c r="H17" s="36" t="s">
        <v>89</v>
      </c>
      <c r="I17" s="36" t="s">
        <v>86</v>
      </c>
      <c r="J17" s="330"/>
      <c r="K17" s="36" t="s">
        <v>101</v>
      </c>
      <c r="L17" s="274" t="s">
        <v>34</v>
      </c>
      <c r="M17" s="52">
        <v>0.9</v>
      </c>
      <c r="N17" s="38">
        <v>5.0000000000000001E-3</v>
      </c>
      <c r="O17" s="500"/>
      <c r="P17" s="501"/>
      <c r="Q17" s="501"/>
      <c r="R17" s="501"/>
      <c r="S17" s="501"/>
      <c r="T17" s="501"/>
      <c r="U17" s="503"/>
      <c r="V17" s="504"/>
      <c r="W17" s="500"/>
      <c r="X17" s="501"/>
      <c r="Y17" s="501"/>
      <c r="Z17" s="501"/>
      <c r="AA17" s="53">
        <f>MAX(O17:Z17)/M17</f>
        <v>0</v>
      </c>
      <c r="AB17" s="40">
        <f>IF(AA17&lt;=100%,AA17*N17,N17)</f>
        <v>0</v>
      </c>
      <c r="AC17" s="373"/>
      <c r="AD17" s="75"/>
      <c r="AE17" s="235"/>
      <c r="AF17" s="179"/>
      <c r="AG17" s="204"/>
    </row>
    <row r="18" spans="1:33" ht="35.25" customHeight="1" x14ac:dyDescent="0.2">
      <c r="A18" s="382"/>
      <c r="B18" s="376" t="str">
        <f>'Objetivos Estratégicos'!B6</f>
        <v xml:space="preserve">Administrar y optimizar eficientemente los recursos financieros acorde con las expectativas de los asociados. </v>
      </c>
      <c r="C18" s="418">
        <f>+SUM(F18:F19)</f>
        <v>0.01</v>
      </c>
      <c r="D18" s="330" t="s">
        <v>357</v>
      </c>
      <c r="E18" s="330"/>
      <c r="F18" s="38">
        <f>+N18</f>
        <v>5.0000000000000001E-3</v>
      </c>
      <c r="G18" s="330"/>
      <c r="H18" s="36" t="s">
        <v>90</v>
      </c>
      <c r="I18" s="36" t="s">
        <v>358</v>
      </c>
      <c r="J18" s="330"/>
      <c r="K18" s="36" t="s">
        <v>92</v>
      </c>
      <c r="L18" s="274" t="s">
        <v>54</v>
      </c>
      <c r="M18" s="54" t="s">
        <v>125</v>
      </c>
      <c r="N18" s="38">
        <v>5.0000000000000001E-3</v>
      </c>
      <c r="O18" s="133"/>
      <c r="P18" s="134"/>
      <c r="Q18" s="133"/>
      <c r="R18" s="55"/>
      <c r="S18" s="55"/>
      <c r="T18" s="55"/>
      <c r="U18" s="19"/>
      <c r="V18" s="19"/>
      <c r="W18" s="19"/>
      <c r="X18" s="24"/>
      <c r="Y18" s="24"/>
      <c r="Z18" s="24"/>
      <c r="AA18" s="56">
        <f>IFERROR(IF(AVERAGE(O18:Z18)&gt;1.25,100%,IF(AVERAGE(O18:Z18)&lt;1.25,AVERAGE(O18:Z18)/1.25,0)),0)</f>
        <v>0</v>
      </c>
      <c r="AB18" s="40">
        <f>IF(AA18&lt;=100%,AA18*N18,N18)</f>
        <v>0</v>
      </c>
      <c r="AC18" s="373"/>
      <c r="AD18" s="75"/>
      <c r="AE18" s="235"/>
      <c r="AF18" s="179"/>
      <c r="AG18" s="204"/>
    </row>
    <row r="19" spans="1:33" ht="35.25" customHeight="1" x14ac:dyDescent="0.2">
      <c r="A19" s="340"/>
      <c r="B19" s="376"/>
      <c r="C19" s="418"/>
      <c r="D19" s="330"/>
      <c r="E19" s="330"/>
      <c r="F19" s="38">
        <f>+N19</f>
        <v>5.0000000000000001E-3</v>
      </c>
      <c r="G19" s="330"/>
      <c r="H19" s="36" t="s">
        <v>91</v>
      </c>
      <c r="I19" s="36" t="s">
        <v>87</v>
      </c>
      <c r="J19" s="330"/>
      <c r="K19" s="36" t="s">
        <v>93</v>
      </c>
      <c r="L19" s="274" t="s">
        <v>54</v>
      </c>
      <c r="M19" s="52" t="s">
        <v>126</v>
      </c>
      <c r="N19" s="38">
        <v>5.0000000000000001E-3</v>
      </c>
      <c r="O19" s="134"/>
      <c r="P19" s="134"/>
      <c r="Q19" s="133"/>
      <c r="R19" s="210"/>
      <c r="S19" s="210"/>
      <c r="T19" s="210"/>
      <c r="U19" s="210"/>
      <c r="V19" s="210"/>
      <c r="W19" s="210"/>
      <c r="X19" s="210"/>
      <c r="Y19" s="210"/>
      <c r="Z19" s="210"/>
      <c r="AA19" s="53">
        <f>IFERROR(IF(AVERAGE(O19:Z19)&lt;30%,100%,IF(AVERAGE(O19:Z19)&lt;40%,80%,IF(AVERAGE(O19:Z19)&lt;50%,70%,60%))),0)</f>
        <v>0</v>
      </c>
      <c r="AB19" s="40">
        <f>IF(AA19&lt;=100%,AA19*N19,N19)</f>
        <v>0</v>
      </c>
      <c r="AC19" s="374"/>
      <c r="AD19" s="75"/>
      <c r="AE19" s="235"/>
      <c r="AF19" s="247"/>
      <c r="AG19" s="211"/>
    </row>
    <row r="20" spans="1:33" ht="13.5" customHeight="1" x14ac:dyDescent="0.2">
      <c r="A20" s="366" t="s">
        <v>16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57">
        <f>SUM(AC11:AC19)</f>
        <v>0</v>
      </c>
      <c r="AD20" s="326"/>
      <c r="AE20" s="326"/>
      <c r="AF20" s="326"/>
      <c r="AG20" s="326"/>
    </row>
    <row r="22" spans="1:33" ht="35.25" customHeight="1" x14ac:dyDescent="0.2">
      <c r="C22" s="97">
        <f>+C18+C16+C14+C12</f>
        <v>3.6000000000000004E-2</v>
      </c>
      <c r="AG22" s="117" t="s">
        <v>313</v>
      </c>
    </row>
    <row r="23" spans="1:33" x14ac:dyDescent="0.2">
      <c r="C23" s="12">
        <f>+C22*100</f>
        <v>3.6000000000000005</v>
      </c>
    </row>
    <row r="25" spans="1:33" x14ac:dyDescent="0.2">
      <c r="U25" s="20"/>
    </row>
  </sheetData>
  <mergeCells count="109">
    <mergeCell ref="A1:D3"/>
    <mergeCell ref="A4:AG4"/>
    <mergeCell ref="G9:G10"/>
    <mergeCell ref="A5:AG5"/>
    <mergeCell ref="A6:AG6"/>
    <mergeCell ref="A7:AG7"/>
    <mergeCell ref="A8:N8"/>
    <mergeCell ref="O8:Z8"/>
    <mergeCell ref="AD8:AG8"/>
    <mergeCell ref="A9:A10"/>
    <mergeCell ref="B9:B10"/>
    <mergeCell ref="C9:C10"/>
    <mergeCell ref="D9:E10"/>
    <mergeCell ref="F9:F10"/>
    <mergeCell ref="X9:X10"/>
    <mergeCell ref="H9:M9"/>
    <mergeCell ref="N9:N10"/>
    <mergeCell ref="AF9:AF10"/>
    <mergeCell ref="Y9:Y10"/>
    <mergeCell ref="Z9:Z10"/>
    <mergeCell ref="O9:O10"/>
    <mergeCell ref="P9:P10"/>
    <mergeCell ref="Q9:Q10"/>
    <mergeCell ref="R9:R10"/>
    <mergeCell ref="AA9:AA10"/>
    <mergeCell ref="O13:Z14"/>
    <mergeCell ref="T9:T10"/>
    <mergeCell ref="U9:U10"/>
    <mergeCell ref="V9:V10"/>
    <mergeCell ref="W9:W10"/>
    <mergeCell ref="E1:AG3"/>
    <mergeCell ref="AG9:AG10"/>
    <mergeCell ref="S9:S10"/>
    <mergeCell ref="AE9:AE10"/>
    <mergeCell ref="AB9:AB10"/>
    <mergeCell ref="AC9:AC10"/>
    <mergeCell ref="AD9:AD10"/>
    <mergeCell ref="AD13:AD14"/>
    <mergeCell ref="AE13:AE14"/>
    <mergeCell ref="AF13:AF14"/>
    <mergeCell ref="AG13:AG14"/>
    <mergeCell ref="AD11:AD12"/>
    <mergeCell ref="AE11:AE12"/>
    <mergeCell ref="AF11:AF12"/>
    <mergeCell ref="AG11:AG12"/>
    <mergeCell ref="AB13:AB14"/>
    <mergeCell ref="AC13:AC14"/>
    <mergeCell ref="Q11:Q12"/>
    <mergeCell ref="T11:T12"/>
    <mergeCell ref="U11:U12"/>
    <mergeCell ref="R17:T17"/>
    <mergeCell ref="U17:W17"/>
    <mergeCell ref="X17:Z17"/>
    <mergeCell ref="AA11:AA12"/>
    <mergeCell ref="V11:V12"/>
    <mergeCell ref="W11:W12"/>
    <mergeCell ref="X11:X12"/>
    <mergeCell ref="Y11:Y12"/>
    <mergeCell ref="R16:T16"/>
    <mergeCell ref="U16:W16"/>
    <mergeCell ref="X16:Z16"/>
    <mergeCell ref="M13:M14"/>
    <mergeCell ref="A13:G13"/>
    <mergeCell ref="H13:H14"/>
    <mergeCell ref="AD20:AG20"/>
    <mergeCell ref="AC16:AC19"/>
    <mergeCell ref="D12:E12"/>
    <mergeCell ref="O11:O12"/>
    <mergeCell ref="P11:P12"/>
    <mergeCell ref="A11:G11"/>
    <mergeCell ref="H11:H12"/>
    <mergeCell ref="I11:I12"/>
    <mergeCell ref="J11:J12"/>
    <mergeCell ref="K11:K12"/>
    <mergeCell ref="N11:N12"/>
    <mergeCell ref="I13:I14"/>
    <mergeCell ref="G16:G19"/>
    <mergeCell ref="J16:J19"/>
    <mergeCell ref="O17:Q17"/>
    <mergeCell ref="J13:J14"/>
    <mergeCell ref="K13:K14"/>
    <mergeCell ref="Z11:Z12"/>
    <mergeCell ref="AB11:AB12"/>
    <mergeCell ref="R11:R12"/>
    <mergeCell ref="S11:S12"/>
    <mergeCell ref="AC11:AC12"/>
    <mergeCell ref="AA13:AA14"/>
    <mergeCell ref="L11:L12"/>
    <mergeCell ref="M11:M12"/>
    <mergeCell ref="A20:AB20"/>
    <mergeCell ref="D16:E17"/>
    <mergeCell ref="B16:B17"/>
    <mergeCell ref="C16:C17"/>
    <mergeCell ref="B18:B19"/>
    <mergeCell ref="C18:C19"/>
    <mergeCell ref="D18:E19"/>
    <mergeCell ref="D15:E15"/>
    <mergeCell ref="B14:B15"/>
    <mergeCell ref="C14:C15"/>
    <mergeCell ref="O15:Q15"/>
    <mergeCell ref="R15:T15"/>
    <mergeCell ref="U15:W15"/>
    <mergeCell ref="X15:Z15"/>
    <mergeCell ref="O16:Q16"/>
    <mergeCell ref="A14:A19"/>
    <mergeCell ref="F14:F15"/>
    <mergeCell ref="D14:E14"/>
    <mergeCell ref="N13:N14"/>
    <mergeCell ref="L13:L14"/>
  </mergeCells>
  <pageMargins left="0.7" right="0.7" top="0.75" bottom="0.75" header="0.3" footer="0.3"/>
  <pageSetup orientation="portrait" r:id="rId1"/>
  <ignoredErrors>
    <ignoredError sqref="AB18 AB19" evalError="1"/>
    <ignoredError sqref="F14 AA18:AA19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WP40"/>
  <sheetViews>
    <sheetView showGridLines="0" zoomScale="70" zoomScaleNormal="70" zoomScalePageLayoutView="70" workbookViewId="0">
      <selection activeCell="Q16" sqref="Q16:Q17"/>
    </sheetView>
  </sheetViews>
  <sheetFormatPr baseColWidth="10" defaultColWidth="0" defaultRowHeight="12.75" x14ac:dyDescent="0.2"/>
  <cols>
    <col min="1" max="1" width="19.7109375" style="12" customWidth="1"/>
    <col min="2" max="2" width="19.42578125" style="12" customWidth="1"/>
    <col min="3" max="3" width="10.42578125" style="12" customWidth="1"/>
    <col min="4" max="5" width="16.42578125" style="12" customWidth="1"/>
    <col min="6" max="6" width="10.140625" style="12" customWidth="1"/>
    <col min="7" max="7" width="18.140625" style="12" customWidth="1"/>
    <col min="8" max="8" width="19.5703125" style="12" customWidth="1"/>
    <col min="9" max="9" width="23.7109375" style="12" customWidth="1"/>
    <col min="10" max="10" width="12.5703125" style="12" customWidth="1"/>
    <col min="11" max="11" width="25.42578125" style="12" customWidth="1"/>
    <col min="12" max="12" width="12.42578125" style="12" customWidth="1"/>
    <col min="13" max="13" width="13.42578125" style="23" customWidth="1"/>
    <col min="14" max="14" width="11.42578125" style="12" customWidth="1"/>
    <col min="15" max="18" width="15.85546875" style="12" customWidth="1"/>
    <col min="19" max="19" width="13.42578125" style="12" customWidth="1"/>
    <col min="20" max="20" width="16" style="12" customWidth="1"/>
    <col min="21" max="21" width="12.28515625" style="12" customWidth="1"/>
    <col min="22" max="22" width="37.5703125" style="12" customWidth="1"/>
    <col min="23" max="25" width="32.85546875" style="12" customWidth="1"/>
    <col min="26" max="26" width="23.42578125" style="12" customWidth="1"/>
    <col min="27" max="248" width="10.85546875" style="12" hidden="1"/>
    <col min="249" max="249" width="19.7109375" style="12" hidden="1"/>
    <col min="250" max="250" width="19.42578125" style="12" hidden="1"/>
    <col min="251" max="251" width="10.42578125" style="12" hidden="1"/>
    <col min="252" max="252" width="16.42578125" style="12" hidden="1"/>
    <col min="253" max="253" width="27.28515625" style="12" hidden="1"/>
    <col min="254" max="254" width="10.140625" style="12" hidden="1"/>
    <col min="255" max="255" width="18.140625" style="12" hidden="1"/>
    <col min="256" max="256" width="21" style="12" hidden="1"/>
    <col min="257" max="257" width="23.7109375" style="12" hidden="1"/>
    <col min="258" max="258" width="10.7109375" style="12" hidden="1"/>
    <col min="259" max="259" width="25.42578125" style="12" hidden="1"/>
    <col min="260" max="260" width="12.42578125" style="12" hidden="1"/>
    <col min="261" max="261" width="13.42578125" style="12" hidden="1"/>
    <col min="262" max="262" width="10.28515625" style="12" hidden="1"/>
    <col min="263" max="271" width="15.42578125" style="12" hidden="1"/>
    <col min="272" max="272" width="15.85546875" style="12" hidden="1"/>
    <col min="273" max="273" width="13.42578125" style="12" hidden="1"/>
    <col min="274" max="274" width="12.85546875" style="12" hidden="1"/>
    <col min="275" max="275" width="13.42578125" style="12" hidden="1"/>
    <col min="276" max="276" width="16" style="12" hidden="1"/>
    <col min="277" max="277" width="12.28515625" style="12" hidden="1"/>
    <col min="278" max="278" width="17.28515625" style="12" hidden="1"/>
    <col min="279" max="279" width="16.28515625" style="12" hidden="1"/>
    <col min="280" max="280" width="22.5703125" style="12" hidden="1"/>
    <col min="281" max="281" width="21.140625" style="12" hidden="1"/>
    <col min="282" max="282" width="23.42578125" style="12" hidden="1"/>
    <col min="283" max="504" width="10.85546875" style="12" hidden="1"/>
    <col min="505" max="505" width="19.7109375" style="12" hidden="1"/>
    <col min="506" max="506" width="19.42578125" style="12" hidden="1"/>
    <col min="507" max="507" width="10.42578125" style="12" hidden="1"/>
    <col min="508" max="508" width="16.42578125" style="12" hidden="1"/>
    <col min="509" max="509" width="27.28515625" style="12" hidden="1"/>
    <col min="510" max="510" width="10.140625" style="12" hidden="1"/>
    <col min="511" max="511" width="18.140625" style="12" hidden="1"/>
    <col min="512" max="512" width="21" style="12" hidden="1"/>
    <col min="513" max="513" width="23.7109375" style="12" hidden="1"/>
    <col min="514" max="514" width="10.7109375" style="12" hidden="1"/>
    <col min="515" max="515" width="25.42578125" style="12" hidden="1"/>
    <col min="516" max="516" width="12.42578125" style="12" hidden="1"/>
    <col min="517" max="517" width="13.42578125" style="12" hidden="1"/>
    <col min="518" max="518" width="10.28515625" style="12" hidden="1"/>
    <col min="519" max="527" width="15.42578125" style="12" hidden="1"/>
    <col min="528" max="528" width="15.85546875" style="12" hidden="1"/>
    <col min="529" max="529" width="13.42578125" style="12" hidden="1"/>
    <col min="530" max="530" width="12.85546875" style="12" hidden="1"/>
    <col min="531" max="531" width="13.42578125" style="12" hidden="1"/>
    <col min="532" max="532" width="16" style="12" hidden="1"/>
    <col min="533" max="533" width="12.28515625" style="12" hidden="1"/>
    <col min="534" max="534" width="17.28515625" style="12" hidden="1"/>
    <col min="535" max="535" width="16.28515625" style="12" hidden="1"/>
    <col min="536" max="536" width="22.5703125" style="12" hidden="1"/>
    <col min="537" max="537" width="21.140625" style="12" hidden="1"/>
    <col min="538" max="538" width="23.42578125" style="12" hidden="1"/>
    <col min="539" max="760" width="10.85546875" style="12" hidden="1"/>
    <col min="761" max="761" width="19.7109375" style="12" hidden="1"/>
    <col min="762" max="762" width="19.42578125" style="12" hidden="1"/>
    <col min="763" max="763" width="10.42578125" style="12" hidden="1"/>
    <col min="764" max="764" width="16.42578125" style="12" hidden="1"/>
    <col min="765" max="765" width="27.28515625" style="12" hidden="1"/>
    <col min="766" max="766" width="10.140625" style="12" hidden="1"/>
    <col min="767" max="767" width="18.140625" style="12" hidden="1"/>
    <col min="768" max="768" width="21" style="12" hidden="1"/>
    <col min="769" max="769" width="23.7109375" style="12" hidden="1"/>
    <col min="770" max="770" width="10.7109375" style="12" hidden="1"/>
    <col min="771" max="771" width="25.42578125" style="12" hidden="1"/>
    <col min="772" max="772" width="12.42578125" style="12" hidden="1"/>
    <col min="773" max="773" width="13.42578125" style="12" hidden="1"/>
    <col min="774" max="774" width="10.28515625" style="12" hidden="1"/>
    <col min="775" max="783" width="15.42578125" style="12" hidden="1"/>
    <col min="784" max="784" width="15.85546875" style="12" hidden="1"/>
    <col min="785" max="785" width="13.42578125" style="12" hidden="1"/>
    <col min="786" max="786" width="12.85546875" style="12" hidden="1"/>
    <col min="787" max="787" width="13.42578125" style="12" hidden="1"/>
    <col min="788" max="788" width="16" style="12" hidden="1"/>
    <col min="789" max="789" width="12.28515625" style="12" hidden="1"/>
    <col min="790" max="790" width="17.28515625" style="12" hidden="1"/>
    <col min="791" max="791" width="16.28515625" style="12" hidden="1"/>
    <col min="792" max="792" width="22.5703125" style="12" hidden="1"/>
    <col min="793" max="793" width="21.140625" style="12" hidden="1"/>
    <col min="794" max="794" width="23.42578125" style="12" hidden="1"/>
    <col min="795" max="1016" width="10.85546875" style="12" hidden="1"/>
    <col min="1017" max="1017" width="19.7109375" style="12" hidden="1"/>
    <col min="1018" max="1018" width="19.42578125" style="12" hidden="1"/>
    <col min="1019" max="1019" width="10.42578125" style="12" hidden="1"/>
    <col min="1020" max="1020" width="16.42578125" style="12" hidden="1"/>
    <col min="1021" max="1021" width="27.28515625" style="12" hidden="1"/>
    <col min="1022" max="1022" width="10.140625" style="12" hidden="1"/>
    <col min="1023" max="1023" width="18.140625" style="12" hidden="1"/>
    <col min="1024" max="1024" width="21" style="12" hidden="1"/>
    <col min="1025" max="1025" width="23.7109375" style="12" hidden="1"/>
    <col min="1026" max="1026" width="10.7109375" style="12" hidden="1"/>
    <col min="1027" max="1027" width="25.42578125" style="12" hidden="1"/>
    <col min="1028" max="1028" width="12.42578125" style="12" hidden="1"/>
    <col min="1029" max="1029" width="13.42578125" style="12" hidden="1"/>
    <col min="1030" max="1030" width="10.28515625" style="12" hidden="1"/>
    <col min="1031" max="1039" width="15.42578125" style="12" hidden="1"/>
    <col min="1040" max="1040" width="15.85546875" style="12" hidden="1"/>
    <col min="1041" max="1041" width="13.42578125" style="12" hidden="1"/>
    <col min="1042" max="1042" width="12.85546875" style="12" hidden="1"/>
    <col min="1043" max="1043" width="13.42578125" style="12" hidden="1"/>
    <col min="1044" max="1044" width="16" style="12" hidden="1"/>
    <col min="1045" max="1045" width="12.28515625" style="12" hidden="1"/>
    <col min="1046" max="1046" width="17.28515625" style="12" hidden="1"/>
    <col min="1047" max="1047" width="16.28515625" style="12" hidden="1"/>
    <col min="1048" max="1048" width="22.5703125" style="12" hidden="1"/>
    <col min="1049" max="1049" width="21.140625" style="12" hidden="1"/>
    <col min="1050" max="1050" width="23.42578125" style="12" hidden="1"/>
    <col min="1051" max="1272" width="10.85546875" style="12" hidden="1"/>
    <col min="1273" max="1273" width="19.7109375" style="12" hidden="1"/>
    <col min="1274" max="1274" width="19.42578125" style="12" hidden="1"/>
    <col min="1275" max="1275" width="10.42578125" style="12" hidden="1"/>
    <col min="1276" max="1276" width="16.42578125" style="12" hidden="1"/>
    <col min="1277" max="1277" width="27.28515625" style="12" hidden="1"/>
    <col min="1278" max="1278" width="10.140625" style="12" hidden="1"/>
    <col min="1279" max="1279" width="18.140625" style="12" hidden="1"/>
    <col min="1280" max="1280" width="21" style="12" hidden="1"/>
    <col min="1281" max="1281" width="23.7109375" style="12" hidden="1"/>
    <col min="1282" max="1282" width="10.7109375" style="12" hidden="1"/>
    <col min="1283" max="1283" width="25.42578125" style="12" hidden="1"/>
    <col min="1284" max="1284" width="12.42578125" style="12" hidden="1"/>
    <col min="1285" max="1285" width="13.42578125" style="12" hidden="1"/>
    <col min="1286" max="1286" width="10.28515625" style="12" hidden="1"/>
    <col min="1287" max="1295" width="15.42578125" style="12" hidden="1"/>
    <col min="1296" max="1296" width="15.85546875" style="12" hidden="1"/>
    <col min="1297" max="1297" width="13.42578125" style="12" hidden="1"/>
    <col min="1298" max="1298" width="12.85546875" style="12" hidden="1"/>
    <col min="1299" max="1299" width="13.42578125" style="12" hidden="1"/>
    <col min="1300" max="1300" width="16" style="12" hidden="1"/>
    <col min="1301" max="1301" width="12.28515625" style="12" hidden="1"/>
    <col min="1302" max="1302" width="17.28515625" style="12" hidden="1"/>
    <col min="1303" max="1303" width="16.28515625" style="12" hidden="1"/>
    <col min="1304" max="1304" width="22.5703125" style="12" hidden="1"/>
    <col min="1305" max="1305" width="21.140625" style="12" hidden="1"/>
    <col min="1306" max="1306" width="23.42578125" style="12" hidden="1"/>
    <col min="1307" max="1528" width="10.85546875" style="12" hidden="1"/>
    <col min="1529" max="1529" width="19.7109375" style="12" hidden="1"/>
    <col min="1530" max="1530" width="19.42578125" style="12" hidden="1"/>
    <col min="1531" max="1531" width="10.42578125" style="12" hidden="1"/>
    <col min="1532" max="1532" width="16.42578125" style="12" hidden="1"/>
    <col min="1533" max="1533" width="27.28515625" style="12" hidden="1"/>
    <col min="1534" max="1534" width="10.140625" style="12" hidden="1"/>
    <col min="1535" max="1535" width="18.140625" style="12" hidden="1"/>
    <col min="1536" max="1536" width="21" style="12" hidden="1"/>
    <col min="1537" max="1537" width="23.7109375" style="12" hidden="1"/>
    <col min="1538" max="1538" width="10.7109375" style="12" hidden="1"/>
    <col min="1539" max="1539" width="25.42578125" style="12" hidden="1"/>
    <col min="1540" max="1540" width="12.42578125" style="12" hidden="1"/>
    <col min="1541" max="1541" width="13.42578125" style="12" hidden="1"/>
    <col min="1542" max="1542" width="10.28515625" style="12" hidden="1"/>
    <col min="1543" max="1551" width="15.42578125" style="12" hidden="1"/>
    <col min="1552" max="1552" width="15.85546875" style="12" hidden="1"/>
    <col min="1553" max="1553" width="13.42578125" style="12" hidden="1"/>
    <col min="1554" max="1554" width="12.85546875" style="12" hidden="1"/>
    <col min="1555" max="1555" width="13.42578125" style="12" hidden="1"/>
    <col min="1556" max="1556" width="16" style="12" hidden="1"/>
    <col min="1557" max="1557" width="12.28515625" style="12" hidden="1"/>
    <col min="1558" max="1558" width="17.28515625" style="12" hidden="1"/>
    <col min="1559" max="1559" width="16.28515625" style="12" hidden="1"/>
    <col min="1560" max="1560" width="22.5703125" style="12" hidden="1"/>
    <col min="1561" max="1561" width="21.140625" style="12" hidden="1"/>
    <col min="1562" max="1562" width="23.42578125" style="12" hidden="1"/>
    <col min="1563" max="1784" width="10.85546875" style="12" hidden="1"/>
    <col min="1785" max="1785" width="19.7109375" style="12" hidden="1"/>
    <col min="1786" max="1786" width="19.42578125" style="12" hidden="1"/>
    <col min="1787" max="1787" width="10.42578125" style="12" hidden="1"/>
    <col min="1788" max="1788" width="16.42578125" style="12" hidden="1"/>
    <col min="1789" max="1789" width="27.28515625" style="12" hidden="1"/>
    <col min="1790" max="1790" width="10.140625" style="12" hidden="1"/>
    <col min="1791" max="1791" width="18.140625" style="12" hidden="1"/>
    <col min="1792" max="1792" width="21" style="12" hidden="1"/>
    <col min="1793" max="1793" width="23.7109375" style="12" hidden="1"/>
    <col min="1794" max="1794" width="10.7109375" style="12" hidden="1"/>
    <col min="1795" max="1795" width="25.42578125" style="12" hidden="1"/>
    <col min="1796" max="1796" width="12.42578125" style="12" hidden="1"/>
    <col min="1797" max="1797" width="13.42578125" style="12" hidden="1"/>
    <col min="1798" max="1798" width="10.28515625" style="12" hidden="1"/>
    <col min="1799" max="1807" width="15.42578125" style="12" hidden="1"/>
    <col min="1808" max="1808" width="15.85546875" style="12" hidden="1"/>
    <col min="1809" max="1809" width="13.42578125" style="12" hidden="1"/>
    <col min="1810" max="1810" width="12.85546875" style="12" hidden="1"/>
    <col min="1811" max="1811" width="13.42578125" style="12" hidden="1"/>
    <col min="1812" max="1812" width="16" style="12" hidden="1"/>
    <col min="1813" max="1813" width="12.28515625" style="12" hidden="1"/>
    <col min="1814" max="1814" width="17.28515625" style="12" hidden="1"/>
    <col min="1815" max="1815" width="16.28515625" style="12" hidden="1"/>
    <col min="1816" max="1816" width="22.5703125" style="12" hidden="1"/>
    <col min="1817" max="1817" width="21.140625" style="12" hidden="1"/>
    <col min="1818" max="1818" width="23.42578125" style="12" hidden="1"/>
    <col min="1819" max="2040" width="10.85546875" style="12" hidden="1"/>
    <col min="2041" max="2041" width="19.7109375" style="12" hidden="1"/>
    <col min="2042" max="2042" width="19.42578125" style="12" hidden="1"/>
    <col min="2043" max="2043" width="10.42578125" style="12" hidden="1"/>
    <col min="2044" max="2044" width="16.42578125" style="12" hidden="1"/>
    <col min="2045" max="2045" width="27.28515625" style="12" hidden="1"/>
    <col min="2046" max="2046" width="10.140625" style="12" hidden="1"/>
    <col min="2047" max="2047" width="18.140625" style="12" hidden="1"/>
    <col min="2048" max="2048" width="21" style="12" hidden="1"/>
    <col min="2049" max="2049" width="23.7109375" style="12" hidden="1"/>
    <col min="2050" max="2050" width="10.7109375" style="12" hidden="1"/>
    <col min="2051" max="2051" width="25.42578125" style="12" hidden="1"/>
    <col min="2052" max="2052" width="12.42578125" style="12" hidden="1"/>
    <col min="2053" max="2053" width="13.42578125" style="12" hidden="1"/>
    <col min="2054" max="2054" width="10.28515625" style="12" hidden="1"/>
    <col min="2055" max="2063" width="15.42578125" style="12" hidden="1"/>
    <col min="2064" max="2064" width="15.85546875" style="12" hidden="1"/>
    <col min="2065" max="2065" width="13.42578125" style="12" hidden="1"/>
    <col min="2066" max="2066" width="12.85546875" style="12" hidden="1"/>
    <col min="2067" max="2067" width="13.42578125" style="12" hidden="1"/>
    <col min="2068" max="2068" width="16" style="12" hidden="1"/>
    <col min="2069" max="2069" width="12.28515625" style="12" hidden="1"/>
    <col min="2070" max="2070" width="17.28515625" style="12" hidden="1"/>
    <col min="2071" max="2071" width="16.28515625" style="12" hidden="1"/>
    <col min="2072" max="2072" width="22.5703125" style="12" hidden="1"/>
    <col min="2073" max="2073" width="21.140625" style="12" hidden="1"/>
    <col min="2074" max="2074" width="23.42578125" style="12" hidden="1"/>
    <col min="2075" max="2296" width="10.85546875" style="12" hidden="1"/>
    <col min="2297" max="2297" width="19.7109375" style="12" hidden="1"/>
    <col min="2298" max="2298" width="19.42578125" style="12" hidden="1"/>
    <col min="2299" max="2299" width="10.42578125" style="12" hidden="1"/>
    <col min="2300" max="2300" width="16.42578125" style="12" hidden="1"/>
    <col min="2301" max="2301" width="27.28515625" style="12" hidden="1"/>
    <col min="2302" max="2302" width="10.140625" style="12" hidden="1"/>
    <col min="2303" max="2303" width="18.140625" style="12" hidden="1"/>
    <col min="2304" max="2304" width="21" style="12" hidden="1"/>
    <col min="2305" max="2305" width="23.7109375" style="12" hidden="1"/>
    <col min="2306" max="2306" width="10.7109375" style="12" hidden="1"/>
    <col min="2307" max="2307" width="25.42578125" style="12" hidden="1"/>
    <col min="2308" max="2308" width="12.42578125" style="12" hidden="1"/>
    <col min="2309" max="2309" width="13.42578125" style="12" hidden="1"/>
    <col min="2310" max="2310" width="10.28515625" style="12" hidden="1"/>
    <col min="2311" max="2319" width="15.42578125" style="12" hidden="1"/>
    <col min="2320" max="2320" width="15.85546875" style="12" hidden="1"/>
    <col min="2321" max="2321" width="13.42578125" style="12" hidden="1"/>
    <col min="2322" max="2322" width="12.85546875" style="12" hidden="1"/>
    <col min="2323" max="2323" width="13.42578125" style="12" hidden="1"/>
    <col min="2324" max="2324" width="16" style="12" hidden="1"/>
    <col min="2325" max="2325" width="12.28515625" style="12" hidden="1"/>
    <col min="2326" max="2326" width="17.28515625" style="12" hidden="1"/>
    <col min="2327" max="2327" width="16.28515625" style="12" hidden="1"/>
    <col min="2328" max="2328" width="22.5703125" style="12" hidden="1"/>
    <col min="2329" max="2329" width="21.140625" style="12" hidden="1"/>
    <col min="2330" max="2330" width="23.42578125" style="12" hidden="1"/>
    <col min="2331" max="2552" width="10.85546875" style="12" hidden="1"/>
    <col min="2553" max="2553" width="19.7109375" style="12" hidden="1"/>
    <col min="2554" max="2554" width="19.42578125" style="12" hidden="1"/>
    <col min="2555" max="2555" width="10.42578125" style="12" hidden="1"/>
    <col min="2556" max="2556" width="16.42578125" style="12" hidden="1"/>
    <col min="2557" max="2557" width="27.28515625" style="12" hidden="1"/>
    <col min="2558" max="2558" width="10.140625" style="12" hidden="1"/>
    <col min="2559" max="2559" width="18.140625" style="12" hidden="1"/>
    <col min="2560" max="2560" width="21" style="12" hidden="1"/>
    <col min="2561" max="2561" width="23.7109375" style="12" hidden="1"/>
    <col min="2562" max="2562" width="10.7109375" style="12" hidden="1"/>
    <col min="2563" max="2563" width="25.42578125" style="12" hidden="1"/>
    <col min="2564" max="2564" width="12.42578125" style="12" hidden="1"/>
    <col min="2565" max="2565" width="13.42578125" style="12" hidden="1"/>
    <col min="2566" max="2566" width="10.28515625" style="12" hidden="1"/>
    <col min="2567" max="2575" width="15.42578125" style="12" hidden="1"/>
    <col min="2576" max="2576" width="15.85546875" style="12" hidden="1"/>
    <col min="2577" max="2577" width="13.42578125" style="12" hidden="1"/>
    <col min="2578" max="2578" width="12.85546875" style="12" hidden="1"/>
    <col min="2579" max="2579" width="13.42578125" style="12" hidden="1"/>
    <col min="2580" max="2580" width="16" style="12" hidden="1"/>
    <col min="2581" max="2581" width="12.28515625" style="12" hidden="1"/>
    <col min="2582" max="2582" width="17.28515625" style="12" hidden="1"/>
    <col min="2583" max="2583" width="16.28515625" style="12" hidden="1"/>
    <col min="2584" max="2584" width="22.5703125" style="12" hidden="1"/>
    <col min="2585" max="2585" width="21.140625" style="12" hidden="1"/>
    <col min="2586" max="2586" width="23.42578125" style="12" hidden="1"/>
    <col min="2587" max="2808" width="10.85546875" style="12" hidden="1"/>
    <col min="2809" max="2809" width="19.7109375" style="12" hidden="1"/>
    <col min="2810" max="2810" width="19.42578125" style="12" hidden="1"/>
    <col min="2811" max="2811" width="10.42578125" style="12" hidden="1"/>
    <col min="2812" max="2812" width="16.42578125" style="12" hidden="1"/>
    <col min="2813" max="2813" width="27.28515625" style="12" hidden="1"/>
    <col min="2814" max="2814" width="10.140625" style="12" hidden="1"/>
    <col min="2815" max="2815" width="18.140625" style="12" hidden="1"/>
    <col min="2816" max="2816" width="21" style="12" hidden="1"/>
    <col min="2817" max="2817" width="23.7109375" style="12" hidden="1"/>
    <col min="2818" max="2818" width="10.7109375" style="12" hidden="1"/>
    <col min="2819" max="2819" width="25.42578125" style="12" hidden="1"/>
    <col min="2820" max="2820" width="12.42578125" style="12" hidden="1"/>
    <col min="2821" max="2821" width="13.42578125" style="12" hidden="1"/>
    <col min="2822" max="2822" width="10.28515625" style="12" hidden="1"/>
    <col min="2823" max="2831" width="15.42578125" style="12" hidden="1"/>
    <col min="2832" max="2832" width="15.85546875" style="12" hidden="1"/>
    <col min="2833" max="2833" width="13.42578125" style="12" hidden="1"/>
    <col min="2834" max="2834" width="12.85546875" style="12" hidden="1"/>
    <col min="2835" max="2835" width="13.42578125" style="12" hidden="1"/>
    <col min="2836" max="2836" width="16" style="12" hidden="1"/>
    <col min="2837" max="2837" width="12.28515625" style="12" hidden="1"/>
    <col min="2838" max="2838" width="17.28515625" style="12" hidden="1"/>
    <col min="2839" max="2839" width="16.28515625" style="12" hidden="1"/>
    <col min="2840" max="2840" width="22.5703125" style="12" hidden="1"/>
    <col min="2841" max="2841" width="21.140625" style="12" hidden="1"/>
    <col min="2842" max="2842" width="23.42578125" style="12" hidden="1"/>
    <col min="2843" max="3064" width="10.85546875" style="12" hidden="1"/>
    <col min="3065" max="3065" width="19.7109375" style="12" hidden="1"/>
    <col min="3066" max="3066" width="19.42578125" style="12" hidden="1"/>
    <col min="3067" max="3067" width="10.42578125" style="12" hidden="1"/>
    <col min="3068" max="3068" width="16.42578125" style="12" hidden="1"/>
    <col min="3069" max="3069" width="27.28515625" style="12" hidden="1"/>
    <col min="3070" max="3070" width="10.140625" style="12" hidden="1"/>
    <col min="3071" max="3071" width="18.140625" style="12" hidden="1"/>
    <col min="3072" max="3072" width="21" style="12" hidden="1"/>
    <col min="3073" max="3073" width="23.7109375" style="12" hidden="1"/>
    <col min="3074" max="3074" width="10.7109375" style="12" hidden="1"/>
    <col min="3075" max="3075" width="25.42578125" style="12" hidden="1"/>
    <col min="3076" max="3076" width="12.42578125" style="12" hidden="1"/>
    <col min="3077" max="3077" width="13.42578125" style="12" hidden="1"/>
    <col min="3078" max="3078" width="10.28515625" style="12" hidden="1"/>
    <col min="3079" max="3087" width="15.42578125" style="12" hidden="1"/>
    <col min="3088" max="3088" width="15.85546875" style="12" hidden="1"/>
    <col min="3089" max="3089" width="13.42578125" style="12" hidden="1"/>
    <col min="3090" max="3090" width="12.85546875" style="12" hidden="1"/>
    <col min="3091" max="3091" width="13.42578125" style="12" hidden="1"/>
    <col min="3092" max="3092" width="16" style="12" hidden="1"/>
    <col min="3093" max="3093" width="12.28515625" style="12" hidden="1"/>
    <col min="3094" max="3094" width="17.28515625" style="12" hidden="1"/>
    <col min="3095" max="3095" width="16.28515625" style="12" hidden="1"/>
    <col min="3096" max="3096" width="22.5703125" style="12" hidden="1"/>
    <col min="3097" max="3097" width="21.140625" style="12" hidden="1"/>
    <col min="3098" max="3098" width="23.42578125" style="12" hidden="1"/>
    <col min="3099" max="3320" width="10.85546875" style="12" hidden="1"/>
    <col min="3321" max="3321" width="19.7109375" style="12" hidden="1"/>
    <col min="3322" max="3322" width="19.42578125" style="12" hidden="1"/>
    <col min="3323" max="3323" width="10.42578125" style="12" hidden="1"/>
    <col min="3324" max="3324" width="16.42578125" style="12" hidden="1"/>
    <col min="3325" max="3325" width="27.28515625" style="12" hidden="1"/>
    <col min="3326" max="3326" width="10.140625" style="12" hidden="1"/>
    <col min="3327" max="3327" width="18.140625" style="12" hidden="1"/>
    <col min="3328" max="3328" width="21" style="12" hidden="1"/>
    <col min="3329" max="3329" width="23.7109375" style="12" hidden="1"/>
    <col min="3330" max="3330" width="10.7109375" style="12" hidden="1"/>
    <col min="3331" max="3331" width="25.42578125" style="12" hidden="1"/>
    <col min="3332" max="3332" width="12.42578125" style="12" hidden="1"/>
    <col min="3333" max="3333" width="13.42578125" style="12" hidden="1"/>
    <col min="3334" max="3334" width="10.28515625" style="12" hidden="1"/>
    <col min="3335" max="3343" width="15.42578125" style="12" hidden="1"/>
    <col min="3344" max="3344" width="15.85546875" style="12" hidden="1"/>
    <col min="3345" max="3345" width="13.42578125" style="12" hidden="1"/>
    <col min="3346" max="3346" width="12.85546875" style="12" hidden="1"/>
    <col min="3347" max="3347" width="13.42578125" style="12" hidden="1"/>
    <col min="3348" max="3348" width="16" style="12" hidden="1"/>
    <col min="3349" max="3349" width="12.28515625" style="12" hidden="1"/>
    <col min="3350" max="3350" width="17.28515625" style="12" hidden="1"/>
    <col min="3351" max="3351" width="16.28515625" style="12" hidden="1"/>
    <col min="3352" max="3352" width="22.5703125" style="12" hidden="1"/>
    <col min="3353" max="3353" width="21.140625" style="12" hidden="1"/>
    <col min="3354" max="3354" width="23.42578125" style="12" hidden="1"/>
    <col min="3355" max="3576" width="10.85546875" style="12" hidden="1"/>
    <col min="3577" max="3577" width="19.7109375" style="12" hidden="1"/>
    <col min="3578" max="3578" width="19.42578125" style="12" hidden="1"/>
    <col min="3579" max="3579" width="10.42578125" style="12" hidden="1"/>
    <col min="3580" max="3580" width="16.42578125" style="12" hidden="1"/>
    <col min="3581" max="3581" width="27.28515625" style="12" hidden="1"/>
    <col min="3582" max="3582" width="10.140625" style="12" hidden="1"/>
    <col min="3583" max="3583" width="18.140625" style="12" hidden="1"/>
    <col min="3584" max="3584" width="21" style="12" hidden="1"/>
    <col min="3585" max="3585" width="23.7109375" style="12" hidden="1"/>
    <col min="3586" max="3586" width="10.7109375" style="12" hidden="1"/>
    <col min="3587" max="3587" width="25.42578125" style="12" hidden="1"/>
    <col min="3588" max="3588" width="12.42578125" style="12" hidden="1"/>
    <col min="3589" max="3589" width="13.42578125" style="12" hidden="1"/>
    <col min="3590" max="3590" width="10.28515625" style="12" hidden="1"/>
    <col min="3591" max="3599" width="15.42578125" style="12" hidden="1"/>
    <col min="3600" max="3600" width="15.85546875" style="12" hidden="1"/>
    <col min="3601" max="3601" width="13.42578125" style="12" hidden="1"/>
    <col min="3602" max="3602" width="12.85546875" style="12" hidden="1"/>
    <col min="3603" max="3603" width="13.42578125" style="12" hidden="1"/>
    <col min="3604" max="3604" width="16" style="12" hidden="1"/>
    <col min="3605" max="3605" width="12.28515625" style="12" hidden="1"/>
    <col min="3606" max="3606" width="17.28515625" style="12" hidden="1"/>
    <col min="3607" max="3607" width="16.28515625" style="12" hidden="1"/>
    <col min="3608" max="3608" width="22.5703125" style="12" hidden="1"/>
    <col min="3609" max="3609" width="21.140625" style="12" hidden="1"/>
    <col min="3610" max="3610" width="23.42578125" style="12" hidden="1"/>
    <col min="3611" max="3832" width="10.85546875" style="12" hidden="1"/>
    <col min="3833" max="3833" width="19.7109375" style="12" hidden="1"/>
    <col min="3834" max="3834" width="19.42578125" style="12" hidden="1"/>
    <col min="3835" max="3835" width="10.42578125" style="12" hidden="1"/>
    <col min="3836" max="3836" width="16.42578125" style="12" hidden="1"/>
    <col min="3837" max="3837" width="27.28515625" style="12" hidden="1"/>
    <col min="3838" max="3838" width="10.140625" style="12" hidden="1"/>
    <col min="3839" max="3839" width="18.140625" style="12" hidden="1"/>
    <col min="3840" max="3840" width="21" style="12" hidden="1"/>
    <col min="3841" max="3841" width="23.7109375" style="12" hidden="1"/>
    <col min="3842" max="3842" width="10.7109375" style="12" hidden="1"/>
    <col min="3843" max="3843" width="25.42578125" style="12" hidden="1"/>
    <col min="3844" max="3844" width="12.42578125" style="12" hidden="1"/>
    <col min="3845" max="3845" width="13.42578125" style="12" hidden="1"/>
    <col min="3846" max="3846" width="10.28515625" style="12" hidden="1"/>
    <col min="3847" max="3855" width="15.42578125" style="12" hidden="1"/>
    <col min="3856" max="3856" width="15.85546875" style="12" hidden="1"/>
    <col min="3857" max="3857" width="13.42578125" style="12" hidden="1"/>
    <col min="3858" max="3858" width="12.85546875" style="12" hidden="1"/>
    <col min="3859" max="3859" width="13.42578125" style="12" hidden="1"/>
    <col min="3860" max="3860" width="16" style="12" hidden="1"/>
    <col min="3861" max="3861" width="12.28515625" style="12" hidden="1"/>
    <col min="3862" max="3862" width="17.28515625" style="12" hidden="1"/>
    <col min="3863" max="3863" width="16.28515625" style="12" hidden="1"/>
    <col min="3864" max="3864" width="22.5703125" style="12" hidden="1"/>
    <col min="3865" max="3865" width="21.140625" style="12" hidden="1"/>
    <col min="3866" max="3866" width="23.42578125" style="12" hidden="1"/>
    <col min="3867" max="4088" width="10.85546875" style="12" hidden="1"/>
    <col min="4089" max="4089" width="19.7109375" style="12" hidden="1"/>
    <col min="4090" max="4090" width="19.42578125" style="12" hidden="1"/>
    <col min="4091" max="4091" width="10.42578125" style="12" hidden="1"/>
    <col min="4092" max="4092" width="16.42578125" style="12" hidden="1"/>
    <col min="4093" max="4093" width="27.28515625" style="12" hidden="1"/>
    <col min="4094" max="4094" width="10.140625" style="12" hidden="1"/>
    <col min="4095" max="4095" width="18.140625" style="12" hidden="1"/>
    <col min="4096" max="4096" width="21" style="12" hidden="1"/>
    <col min="4097" max="4097" width="23.7109375" style="12" hidden="1"/>
    <col min="4098" max="4098" width="10.7109375" style="12" hidden="1"/>
    <col min="4099" max="4099" width="25.42578125" style="12" hidden="1"/>
    <col min="4100" max="4100" width="12.42578125" style="12" hidden="1"/>
    <col min="4101" max="4101" width="13.42578125" style="12" hidden="1"/>
    <col min="4102" max="4102" width="10.28515625" style="12" hidden="1"/>
    <col min="4103" max="4111" width="15.42578125" style="12" hidden="1"/>
    <col min="4112" max="4112" width="15.85546875" style="12" hidden="1"/>
    <col min="4113" max="4113" width="13.42578125" style="12" hidden="1"/>
    <col min="4114" max="4114" width="12.85546875" style="12" hidden="1"/>
    <col min="4115" max="4115" width="13.42578125" style="12" hidden="1"/>
    <col min="4116" max="4116" width="16" style="12" hidden="1"/>
    <col min="4117" max="4117" width="12.28515625" style="12" hidden="1"/>
    <col min="4118" max="4118" width="17.28515625" style="12" hidden="1"/>
    <col min="4119" max="4119" width="16.28515625" style="12" hidden="1"/>
    <col min="4120" max="4120" width="22.5703125" style="12" hidden="1"/>
    <col min="4121" max="4121" width="21.140625" style="12" hidden="1"/>
    <col min="4122" max="4122" width="23.42578125" style="12" hidden="1"/>
    <col min="4123" max="4344" width="10.85546875" style="12" hidden="1"/>
    <col min="4345" max="4345" width="19.7109375" style="12" hidden="1"/>
    <col min="4346" max="4346" width="19.42578125" style="12" hidden="1"/>
    <col min="4347" max="4347" width="10.42578125" style="12" hidden="1"/>
    <col min="4348" max="4348" width="16.42578125" style="12" hidden="1"/>
    <col min="4349" max="4349" width="27.28515625" style="12" hidden="1"/>
    <col min="4350" max="4350" width="10.140625" style="12" hidden="1"/>
    <col min="4351" max="4351" width="18.140625" style="12" hidden="1"/>
    <col min="4352" max="4352" width="21" style="12" hidden="1"/>
    <col min="4353" max="4353" width="23.7109375" style="12" hidden="1"/>
    <col min="4354" max="4354" width="10.7109375" style="12" hidden="1"/>
    <col min="4355" max="4355" width="25.42578125" style="12" hidden="1"/>
    <col min="4356" max="4356" width="12.42578125" style="12" hidden="1"/>
    <col min="4357" max="4357" width="13.42578125" style="12" hidden="1"/>
    <col min="4358" max="4358" width="10.28515625" style="12" hidden="1"/>
    <col min="4359" max="4367" width="15.42578125" style="12" hidden="1"/>
    <col min="4368" max="4368" width="15.85546875" style="12" hidden="1"/>
    <col min="4369" max="4369" width="13.42578125" style="12" hidden="1"/>
    <col min="4370" max="4370" width="12.85546875" style="12" hidden="1"/>
    <col min="4371" max="4371" width="13.42578125" style="12" hidden="1"/>
    <col min="4372" max="4372" width="16" style="12" hidden="1"/>
    <col min="4373" max="4373" width="12.28515625" style="12" hidden="1"/>
    <col min="4374" max="4374" width="17.28515625" style="12" hidden="1"/>
    <col min="4375" max="4375" width="16.28515625" style="12" hidden="1"/>
    <col min="4376" max="4376" width="22.5703125" style="12" hidden="1"/>
    <col min="4377" max="4377" width="21.140625" style="12" hidden="1"/>
    <col min="4378" max="4378" width="23.42578125" style="12" hidden="1"/>
    <col min="4379" max="4600" width="10.85546875" style="12" hidden="1"/>
    <col min="4601" max="4601" width="19.7109375" style="12" hidden="1"/>
    <col min="4602" max="4602" width="19.42578125" style="12" hidden="1"/>
    <col min="4603" max="4603" width="10.42578125" style="12" hidden="1"/>
    <col min="4604" max="4604" width="16.42578125" style="12" hidden="1"/>
    <col min="4605" max="4605" width="27.28515625" style="12" hidden="1"/>
    <col min="4606" max="4606" width="10.140625" style="12" hidden="1"/>
    <col min="4607" max="4607" width="18.140625" style="12" hidden="1"/>
    <col min="4608" max="4608" width="21" style="12" hidden="1"/>
    <col min="4609" max="4609" width="23.7109375" style="12" hidden="1"/>
    <col min="4610" max="4610" width="10.7109375" style="12" hidden="1"/>
    <col min="4611" max="4611" width="25.42578125" style="12" hidden="1"/>
    <col min="4612" max="4612" width="12.42578125" style="12" hidden="1"/>
    <col min="4613" max="4613" width="13.42578125" style="12" hidden="1"/>
    <col min="4614" max="4614" width="10.28515625" style="12" hidden="1"/>
    <col min="4615" max="4623" width="15.42578125" style="12" hidden="1"/>
    <col min="4624" max="4624" width="15.85546875" style="12" hidden="1"/>
    <col min="4625" max="4625" width="13.42578125" style="12" hidden="1"/>
    <col min="4626" max="4626" width="12.85546875" style="12" hidden="1"/>
    <col min="4627" max="4627" width="13.42578125" style="12" hidden="1"/>
    <col min="4628" max="4628" width="16" style="12" hidden="1"/>
    <col min="4629" max="4629" width="12.28515625" style="12" hidden="1"/>
    <col min="4630" max="4630" width="17.28515625" style="12" hidden="1"/>
    <col min="4631" max="4631" width="16.28515625" style="12" hidden="1"/>
    <col min="4632" max="4632" width="22.5703125" style="12" hidden="1"/>
    <col min="4633" max="4633" width="21.140625" style="12" hidden="1"/>
    <col min="4634" max="4634" width="23.42578125" style="12" hidden="1"/>
    <col min="4635" max="4856" width="10.85546875" style="12" hidden="1"/>
    <col min="4857" max="4857" width="19.7109375" style="12" hidden="1"/>
    <col min="4858" max="4858" width="19.42578125" style="12" hidden="1"/>
    <col min="4859" max="4859" width="10.42578125" style="12" hidden="1"/>
    <col min="4860" max="4860" width="16.42578125" style="12" hidden="1"/>
    <col min="4861" max="4861" width="27.28515625" style="12" hidden="1"/>
    <col min="4862" max="4862" width="10.140625" style="12" hidden="1"/>
    <col min="4863" max="4863" width="18.140625" style="12" hidden="1"/>
    <col min="4864" max="4864" width="21" style="12" hidden="1"/>
    <col min="4865" max="4865" width="23.7109375" style="12" hidden="1"/>
    <col min="4866" max="4866" width="10.7109375" style="12" hidden="1"/>
    <col min="4867" max="4867" width="25.42578125" style="12" hidden="1"/>
    <col min="4868" max="4868" width="12.42578125" style="12" hidden="1"/>
    <col min="4869" max="4869" width="13.42578125" style="12" hidden="1"/>
    <col min="4870" max="4870" width="10.28515625" style="12" hidden="1"/>
    <col min="4871" max="4879" width="15.42578125" style="12" hidden="1"/>
    <col min="4880" max="4880" width="15.85546875" style="12" hidden="1"/>
    <col min="4881" max="4881" width="13.42578125" style="12" hidden="1"/>
    <col min="4882" max="4882" width="12.85546875" style="12" hidden="1"/>
    <col min="4883" max="4883" width="13.42578125" style="12" hidden="1"/>
    <col min="4884" max="4884" width="16" style="12" hidden="1"/>
    <col min="4885" max="4885" width="12.28515625" style="12" hidden="1"/>
    <col min="4886" max="4886" width="17.28515625" style="12" hidden="1"/>
    <col min="4887" max="4887" width="16.28515625" style="12" hidden="1"/>
    <col min="4888" max="4888" width="22.5703125" style="12" hidden="1"/>
    <col min="4889" max="4889" width="21.140625" style="12" hidden="1"/>
    <col min="4890" max="4890" width="23.42578125" style="12" hidden="1"/>
    <col min="4891" max="5112" width="10.85546875" style="12" hidden="1"/>
    <col min="5113" max="5113" width="19.7109375" style="12" hidden="1"/>
    <col min="5114" max="5114" width="19.42578125" style="12" hidden="1"/>
    <col min="5115" max="5115" width="10.42578125" style="12" hidden="1"/>
    <col min="5116" max="5116" width="16.42578125" style="12" hidden="1"/>
    <col min="5117" max="5117" width="27.28515625" style="12" hidden="1"/>
    <col min="5118" max="5118" width="10.140625" style="12" hidden="1"/>
    <col min="5119" max="5119" width="18.140625" style="12" hidden="1"/>
    <col min="5120" max="5120" width="21" style="12" hidden="1"/>
    <col min="5121" max="5121" width="23.7109375" style="12" hidden="1"/>
    <col min="5122" max="5122" width="10.7109375" style="12" hidden="1"/>
    <col min="5123" max="5123" width="25.42578125" style="12" hidden="1"/>
    <col min="5124" max="5124" width="12.42578125" style="12" hidden="1"/>
    <col min="5125" max="5125" width="13.42578125" style="12" hidden="1"/>
    <col min="5126" max="5126" width="10.28515625" style="12" hidden="1"/>
    <col min="5127" max="5135" width="15.42578125" style="12" hidden="1"/>
    <col min="5136" max="5136" width="15.85546875" style="12" hidden="1"/>
    <col min="5137" max="5137" width="13.42578125" style="12" hidden="1"/>
    <col min="5138" max="5138" width="12.85546875" style="12" hidden="1"/>
    <col min="5139" max="5139" width="13.42578125" style="12" hidden="1"/>
    <col min="5140" max="5140" width="16" style="12" hidden="1"/>
    <col min="5141" max="5141" width="12.28515625" style="12" hidden="1"/>
    <col min="5142" max="5142" width="17.28515625" style="12" hidden="1"/>
    <col min="5143" max="5143" width="16.28515625" style="12" hidden="1"/>
    <col min="5144" max="5144" width="22.5703125" style="12" hidden="1"/>
    <col min="5145" max="5145" width="21.140625" style="12" hidden="1"/>
    <col min="5146" max="5146" width="23.42578125" style="12" hidden="1"/>
    <col min="5147" max="5368" width="10.85546875" style="12" hidden="1"/>
    <col min="5369" max="5369" width="19.7109375" style="12" hidden="1"/>
    <col min="5370" max="5370" width="19.42578125" style="12" hidden="1"/>
    <col min="5371" max="5371" width="10.42578125" style="12" hidden="1"/>
    <col min="5372" max="5372" width="16.42578125" style="12" hidden="1"/>
    <col min="5373" max="5373" width="27.28515625" style="12" hidden="1"/>
    <col min="5374" max="5374" width="10.140625" style="12" hidden="1"/>
    <col min="5375" max="5375" width="18.140625" style="12" hidden="1"/>
    <col min="5376" max="5376" width="21" style="12" hidden="1"/>
    <col min="5377" max="5377" width="23.7109375" style="12" hidden="1"/>
    <col min="5378" max="5378" width="10.7109375" style="12" hidden="1"/>
    <col min="5379" max="5379" width="25.42578125" style="12" hidden="1"/>
    <col min="5380" max="5380" width="12.42578125" style="12" hidden="1"/>
    <col min="5381" max="5381" width="13.42578125" style="12" hidden="1"/>
    <col min="5382" max="5382" width="10.28515625" style="12" hidden="1"/>
    <col min="5383" max="5391" width="15.42578125" style="12" hidden="1"/>
    <col min="5392" max="5392" width="15.85546875" style="12" hidden="1"/>
    <col min="5393" max="5393" width="13.42578125" style="12" hidden="1"/>
    <col min="5394" max="5394" width="12.85546875" style="12" hidden="1"/>
    <col min="5395" max="5395" width="13.42578125" style="12" hidden="1"/>
    <col min="5396" max="5396" width="16" style="12" hidden="1"/>
    <col min="5397" max="5397" width="12.28515625" style="12" hidden="1"/>
    <col min="5398" max="5398" width="17.28515625" style="12" hidden="1"/>
    <col min="5399" max="5399" width="16.28515625" style="12" hidden="1"/>
    <col min="5400" max="5400" width="22.5703125" style="12" hidden="1"/>
    <col min="5401" max="5401" width="21.140625" style="12" hidden="1"/>
    <col min="5402" max="5402" width="23.42578125" style="12" hidden="1"/>
    <col min="5403" max="5624" width="10.85546875" style="12" hidden="1"/>
    <col min="5625" max="5625" width="19.7109375" style="12" hidden="1"/>
    <col min="5626" max="5626" width="19.42578125" style="12" hidden="1"/>
    <col min="5627" max="5627" width="10.42578125" style="12" hidden="1"/>
    <col min="5628" max="5628" width="16.42578125" style="12" hidden="1"/>
    <col min="5629" max="5629" width="27.28515625" style="12" hidden="1"/>
    <col min="5630" max="5630" width="10.140625" style="12" hidden="1"/>
    <col min="5631" max="5631" width="18.140625" style="12" hidden="1"/>
    <col min="5632" max="5632" width="21" style="12" hidden="1"/>
    <col min="5633" max="5633" width="23.7109375" style="12" hidden="1"/>
    <col min="5634" max="5634" width="10.7109375" style="12" hidden="1"/>
    <col min="5635" max="5635" width="25.42578125" style="12" hidden="1"/>
    <col min="5636" max="5636" width="12.42578125" style="12" hidden="1"/>
    <col min="5637" max="5637" width="13.42578125" style="12" hidden="1"/>
    <col min="5638" max="5638" width="10.28515625" style="12" hidden="1"/>
    <col min="5639" max="5647" width="15.42578125" style="12" hidden="1"/>
    <col min="5648" max="5648" width="15.85546875" style="12" hidden="1"/>
    <col min="5649" max="5649" width="13.42578125" style="12" hidden="1"/>
    <col min="5650" max="5650" width="12.85546875" style="12" hidden="1"/>
    <col min="5651" max="5651" width="13.42578125" style="12" hidden="1"/>
    <col min="5652" max="5652" width="16" style="12" hidden="1"/>
    <col min="5653" max="5653" width="12.28515625" style="12" hidden="1"/>
    <col min="5654" max="5654" width="17.28515625" style="12" hidden="1"/>
    <col min="5655" max="5655" width="16.28515625" style="12" hidden="1"/>
    <col min="5656" max="5656" width="22.5703125" style="12" hidden="1"/>
    <col min="5657" max="5657" width="21.140625" style="12" hidden="1"/>
    <col min="5658" max="5658" width="23.42578125" style="12" hidden="1"/>
    <col min="5659" max="5880" width="10.85546875" style="12" hidden="1"/>
    <col min="5881" max="5881" width="19.7109375" style="12" hidden="1"/>
    <col min="5882" max="5882" width="19.42578125" style="12" hidden="1"/>
    <col min="5883" max="5883" width="10.42578125" style="12" hidden="1"/>
    <col min="5884" max="5884" width="16.42578125" style="12" hidden="1"/>
    <col min="5885" max="5885" width="27.28515625" style="12" hidden="1"/>
    <col min="5886" max="5886" width="10.140625" style="12" hidden="1"/>
    <col min="5887" max="5887" width="18.140625" style="12" hidden="1"/>
    <col min="5888" max="5888" width="21" style="12" hidden="1"/>
    <col min="5889" max="5889" width="23.7109375" style="12" hidden="1"/>
    <col min="5890" max="5890" width="10.7109375" style="12" hidden="1"/>
    <col min="5891" max="5891" width="25.42578125" style="12" hidden="1"/>
    <col min="5892" max="5892" width="12.42578125" style="12" hidden="1"/>
    <col min="5893" max="5893" width="13.42578125" style="12" hidden="1"/>
    <col min="5894" max="5894" width="10.28515625" style="12" hidden="1"/>
    <col min="5895" max="5903" width="15.42578125" style="12" hidden="1"/>
    <col min="5904" max="5904" width="15.85546875" style="12" hidden="1"/>
    <col min="5905" max="5905" width="13.42578125" style="12" hidden="1"/>
    <col min="5906" max="5906" width="12.85546875" style="12" hidden="1"/>
    <col min="5907" max="5907" width="13.42578125" style="12" hidden="1"/>
    <col min="5908" max="5908" width="16" style="12" hidden="1"/>
    <col min="5909" max="5909" width="12.28515625" style="12" hidden="1"/>
    <col min="5910" max="5910" width="17.28515625" style="12" hidden="1"/>
    <col min="5911" max="5911" width="16.28515625" style="12" hidden="1"/>
    <col min="5912" max="5912" width="22.5703125" style="12" hidden="1"/>
    <col min="5913" max="5913" width="21.140625" style="12" hidden="1"/>
    <col min="5914" max="5914" width="23.42578125" style="12" hidden="1"/>
    <col min="5915" max="6136" width="10.85546875" style="12" hidden="1"/>
    <col min="6137" max="6137" width="19.7109375" style="12" hidden="1"/>
    <col min="6138" max="6138" width="19.42578125" style="12" hidden="1"/>
    <col min="6139" max="6139" width="10.42578125" style="12" hidden="1"/>
    <col min="6140" max="6140" width="16.42578125" style="12" hidden="1"/>
    <col min="6141" max="6141" width="27.28515625" style="12" hidden="1"/>
    <col min="6142" max="6142" width="10.140625" style="12" hidden="1"/>
    <col min="6143" max="6143" width="18.140625" style="12" hidden="1"/>
    <col min="6144" max="6144" width="21" style="12" hidden="1"/>
    <col min="6145" max="6145" width="23.7109375" style="12" hidden="1"/>
    <col min="6146" max="6146" width="10.7109375" style="12" hidden="1"/>
    <col min="6147" max="6147" width="25.42578125" style="12" hidden="1"/>
    <col min="6148" max="6148" width="12.42578125" style="12" hidden="1"/>
    <col min="6149" max="6149" width="13.42578125" style="12" hidden="1"/>
    <col min="6150" max="6150" width="10.28515625" style="12" hidden="1"/>
    <col min="6151" max="6159" width="15.42578125" style="12" hidden="1"/>
    <col min="6160" max="6160" width="15.85546875" style="12" hidden="1"/>
    <col min="6161" max="6161" width="13.42578125" style="12" hidden="1"/>
    <col min="6162" max="6162" width="12.85546875" style="12" hidden="1"/>
    <col min="6163" max="6163" width="13.42578125" style="12" hidden="1"/>
    <col min="6164" max="6164" width="16" style="12" hidden="1"/>
    <col min="6165" max="6165" width="12.28515625" style="12" hidden="1"/>
    <col min="6166" max="6166" width="17.28515625" style="12" hidden="1"/>
    <col min="6167" max="6167" width="16.28515625" style="12" hidden="1"/>
    <col min="6168" max="6168" width="22.5703125" style="12" hidden="1"/>
    <col min="6169" max="6169" width="21.140625" style="12" hidden="1"/>
    <col min="6170" max="6170" width="23.42578125" style="12" hidden="1"/>
    <col min="6171" max="6392" width="10.85546875" style="12" hidden="1"/>
    <col min="6393" max="6393" width="19.7109375" style="12" hidden="1"/>
    <col min="6394" max="6394" width="19.42578125" style="12" hidden="1"/>
    <col min="6395" max="6395" width="10.42578125" style="12" hidden="1"/>
    <col min="6396" max="6396" width="16.42578125" style="12" hidden="1"/>
    <col min="6397" max="6397" width="27.28515625" style="12" hidden="1"/>
    <col min="6398" max="6398" width="10.140625" style="12" hidden="1"/>
    <col min="6399" max="6399" width="18.140625" style="12" hidden="1"/>
    <col min="6400" max="6400" width="21" style="12" hidden="1"/>
    <col min="6401" max="6401" width="23.7109375" style="12" hidden="1"/>
    <col min="6402" max="6402" width="10.7109375" style="12" hidden="1"/>
    <col min="6403" max="6403" width="25.42578125" style="12" hidden="1"/>
    <col min="6404" max="6404" width="12.42578125" style="12" hidden="1"/>
    <col min="6405" max="6405" width="13.42578125" style="12" hidden="1"/>
    <col min="6406" max="6406" width="10.28515625" style="12" hidden="1"/>
    <col min="6407" max="6415" width="15.42578125" style="12" hidden="1"/>
    <col min="6416" max="6416" width="15.85546875" style="12" hidden="1"/>
    <col min="6417" max="6417" width="13.42578125" style="12" hidden="1"/>
    <col min="6418" max="6418" width="12.85546875" style="12" hidden="1"/>
    <col min="6419" max="6419" width="13.42578125" style="12" hidden="1"/>
    <col min="6420" max="6420" width="16" style="12" hidden="1"/>
    <col min="6421" max="6421" width="12.28515625" style="12" hidden="1"/>
    <col min="6422" max="6422" width="17.28515625" style="12" hidden="1"/>
    <col min="6423" max="6423" width="16.28515625" style="12" hidden="1"/>
    <col min="6424" max="6424" width="22.5703125" style="12" hidden="1"/>
    <col min="6425" max="6425" width="21.140625" style="12" hidden="1"/>
    <col min="6426" max="6426" width="23.42578125" style="12" hidden="1"/>
    <col min="6427" max="6648" width="10.85546875" style="12" hidden="1"/>
    <col min="6649" max="6649" width="19.7109375" style="12" hidden="1"/>
    <col min="6650" max="6650" width="19.42578125" style="12" hidden="1"/>
    <col min="6651" max="6651" width="10.42578125" style="12" hidden="1"/>
    <col min="6652" max="6652" width="16.42578125" style="12" hidden="1"/>
    <col min="6653" max="6653" width="27.28515625" style="12" hidden="1"/>
    <col min="6654" max="6654" width="10.140625" style="12" hidden="1"/>
    <col min="6655" max="6655" width="18.140625" style="12" hidden="1"/>
    <col min="6656" max="6656" width="21" style="12" hidden="1"/>
    <col min="6657" max="6657" width="23.7109375" style="12" hidden="1"/>
    <col min="6658" max="6658" width="10.7109375" style="12" hidden="1"/>
    <col min="6659" max="6659" width="25.42578125" style="12" hidden="1"/>
    <col min="6660" max="6660" width="12.42578125" style="12" hidden="1"/>
    <col min="6661" max="6661" width="13.42578125" style="12" hidden="1"/>
    <col min="6662" max="6662" width="10.28515625" style="12" hidden="1"/>
    <col min="6663" max="6671" width="15.42578125" style="12" hidden="1"/>
    <col min="6672" max="6672" width="15.85546875" style="12" hidden="1"/>
    <col min="6673" max="6673" width="13.42578125" style="12" hidden="1"/>
    <col min="6674" max="6674" width="12.85546875" style="12" hidden="1"/>
    <col min="6675" max="6675" width="13.42578125" style="12" hidden="1"/>
    <col min="6676" max="6676" width="16" style="12" hidden="1"/>
    <col min="6677" max="6677" width="12.28515625" style="12" hidden="1"/>
    <col min="6678" max="6678" width="17.28515625" style="12" hidden="1"/>
    <col min="6679" max="6679" width="16.28515625" style="12" hidden="1"/>
    <col min="6680" max="6680" width="22.5703125" style="12" hidden="1"/>
    <col min="6681" max="6681" width="21.140625" style="12" hidden="1"/>
    <col min="6682" max="6682" width="23.42578125" style="12" hidden="1"/>
    <col min="6683" max="6904" width="10.85546875" style="12" hidden="1"/>
    <col min="6905" max="6905" width="19.7109375" style="12" hidden="1"/>
    <col min="6906" max="6906" width="19.42578125" style="12" hidden="1"/>
    <col min="6907" max="6907" width="10.42578125" style="12" hidden="1"/>
    <col min="6908" max="6908" width="16.42578125" style="12" hidden="1"/>
    <col min="6909" max="6909" width="27.28515625" style="12" hidden="1"/>
    <col min="6910" max="6910" width="10.140625" style="12" hidden="1"/>
    <col min="6911" max="6911" width="18.140625" style="12" hidden="1"/>
    <col min="6912" max="6912" width="21" style="12" hidden="1"/>
    <col min="6913" max="6913" width="23.7109375" style="12" hidden="1"/>
    <col min="6914" max="6914" width="10.7109375" style="12" hidden="1"/>
    <col min="6915" max="6915" width="25.42578125" style="12" hidden="1"/>
    <col min="6916" max="6916" width="12.42578125" style="12" hidden="1"/>
    <col min="6917" max="6917" width="13.42578125" style="12" hidden="1"/>
    <col min="6918" max="6918" width="10.28515625" style="12" hidden="1"/>
    <col min="6919" max="6927" width="15.42578125" style="12" hidden="1"/>
    <col min="6928" max="6928" width="15.85546875" style="12" hidden="1"/>
    <col min="6929" max="6929" width="13.42578125" style="12" hidden="1"/>
    <col min="6930" max="6930" width="12.85546875" style="12" hidden="1"/>
    <col min="6931" max="6931" width="13.42578125" style="12" hidden="1"/>
    <col min="6932" max="6932" width="16" style="12" hidden="1"/>
    <col min="6933" max="6933" width="12.28515625" style="12" hidden="1"/>
    <col min="6934" max="6934" width="17.28515625" style="12" hidden="1"/>
    <col min="6935" max="6935" width="16.28515625" style="12" hidden="1"/>
    <col min="6936" max="6936" width="22.5703125" style="12" hidden="1"/>
    <col min="6937" max="6937" width="21.140625" style="12" hidden="1"/>
    <col min="6938" max="6938" width="23.42578125" style="12" hidden="1"/>
    <col min="6939" max="7160" width="10.85546875" style="12" hidden="1"/>
    <col min="7161" max="7161" width="19.7109375" style="12" hidden="1"/>
    <col min="7162" max="7162" width="19.42578125" style="12" hidden="1"/>
    <col min="7163" max="7163" width="10.42578125" style="12" hidden="1"/>
    <col min="7164" max="7164" width="16.42578125" style="12" hidden="1"/>
    <col min="7165" max="7165" width="27.28515625" style="12" hidden="1"/>
    <col min="7166" max="7166" width="10.140625" style="12" hidden="1"/>
    <col min="7167" max="7167" width="18.140625" style="12" hidden="1"/>
    <col min="7168" max="7168" width="21" style="12" hidden="1"/>
    <col min="7169" max="7169" width="23.7109375" style="12" hidden="1"/>
    <col min="7170" max="7170" width="10.7109375" style="12" hidden="1"/>
    <col min="7171" max="7171" width="25.42578125" style="12" hidden="1"/>
    <col min="7172" max="7172" width="12.42578125" style="12" hidden="1"/>
    <col min="7173" max="7173" width="13.42578125" style="12" hidden="1"/>
    <col min="7174" max="7174" width="10.28515625" style="12" hidden="1"/>
    <col min="7175" max="7183" width="15.42578125" style="12" hidden="1"/>
    <col min="7184" max="7184" width="15.85546875" style="12" hidden="1"/>
    <col min="7185" max="7185" width="13.42578125" style="12" hidden="1"/>
    <col min="7186" max="7186" width="12.85546875" style="12" hidden="1"/>
    <col min="7187" max="7187" width="13.42578125" style="12" hidden="1"/>
    <col min="7188" max="7188" width="16" style="12" hidden="1"/>
    <col min="7189" max="7189" width="12.28515625" style="12" hidden="1"/>
    <col min="7190" max="7190" width="17.28515625" style="12" hidden="1"/>
    <col min="7191" max="7191" width="16.28515625" style="12" hidden="1"/>
    <col min="7192" max="7192" width="22.5703125" style="12" hidden="1"/>
    <col min="7193" max="7193" width="21.140625" style="12" hidden="1"/>
    <col min="7194" max="7194" width="23.42578125" style="12" hidden="1"/>
    <col min="7195" max="7416" width="10.85546875" style="12" hidden="1"/>
    <col min="7417" max="7417" width="19.7109375" style="12" hidden="1"/>
    <col min="7418" max="7418" width="19.42578125" style="12" hidden="1"/>
    <col min="7419" max="7419" width="10.42578125" style="12" hidden="1"/>
    <col min="7420" max="7420" width="16.42578125" style="12" hidden="1"/>
    <col min="7421" max="7421" width="27.28515625" style="12" hidden="1"/>
    <col min="7422" max="7422" width="10.140625" style="12" hidden="1"/>
    <col min="7423" max="7423" width="18.140625" style="12" hidden="1"/>
    <col min="7424" max="7424" width="21" style="12" hidden="1"/>
    <col min="7425" max="7425" width="23.7109375" style="12" hidden="1"/>
    <col min="7426" max="7426" width="10.7109375" style="12" hidden="1"/>
    <col min="7427" max="7427" width="25.42578125" style="12" hidden="1"/>
    <col min="7428" max="7428" width="12.42578125" style="12" hidden="1"/>
    <col min="7429" max="7429" width="13.42578125" style="12" hidden="1"/>
    <col min="7430" max="7430" width="10.28515625" style="12" hidden="1"/>
    <col min="7431" max="7439" width="15.42578125" style="12" hidden="1"/>
    <col min="7440" max="7440" width="15.85546875" style="12" hidden="1"/>
    <col min="7441" max="7441" width="13.42578125" style="12" hidden="1"/>
    <col min="7442" max="7442" width="12.85546875" style="12" hidden="1"/>
    <col min="7443" max="7443" width="13.42578125" style="12" hidden="1"/>
    <col min="7444" max="7444" width="16" style="12" hidden="1"/>
    <col min="7445" max="7445" width="12.28515625" style="12" hidden="1"/>
    <col min="7446" max="7446" width="17.28515625" style="12" hidden="1"/>
    <col min="7447" max="7447" width="16.28515625" style="12" hidden="1"/>
    <col min="7448" max="7448" width="22.5703125" style="12" hidden="1"/>
    <col min="7449" max="7449" width="21.140625" style="12" hidden="1"/>
    <col min="7450" max="7450" width="23.42578125" style="12" hidden="1"/>
    <col min="7451" max="7672" width="10.85546875" style="12" hidden="1"/>
    <col min="7673" max="7673" width="19.7109375" style="12" hidden="1"/>
    <col min="7674" max="7674" width="19.42578125" style="12" hidden="1"/>
    <col min="7675" max="7675" width="10.42578125" style="12" hidden="1"/>
    <col min="7676" max="7676" width="16.42578125" style="12" hidden="1"/>
    <col min="7677" max="7677" width="27.28515625" style="12" hidden="1"/>
    <col min="7678" max="7678" width="10.140625" style="12" hidden="1"/>
    <col min="7679" max="7679" width="18.140625" style="12" hidden="1"/>
    <col min="7680" max="7680" width="21" style="12" hidden="1"/>
    <col min="7681" max="7681" width="23.7109375" style="12" hidden="1"/>
    <col min="7682" max="7682" width="10.7109375" style="12" hidden="1"/>
    <col min="7683" max="7683" width="25.42578125" style="12" hidden="1"/>
    <col min="7684" max="7684" width="12.42578125" style="12" hidden="1"/>
    <col min="7685" max="7685" width="13.42578125" style="12" hidden="1"/>
    <col min="7686" max="7686" width="10.28515625" style="12" hidden="1"/>
    <col min="7687" max="7695" width="15.42578125" style="12" hidden="1"/>
    <col min="7696" max="7696" width="15.85546875" style="12" hidden="1"/>
    <col min="7697" max="7697" width="13.42578125" style="12" hidden="1"/>
    <col min="7698" max="7698" width="12.85546875" style="12" hidden="1"/>
    <col min="7699" max="7699" width="13.42578125" style="12" hidden="1"/>
    <col min="7700" max="7700" width="16" style="12" hidden="1"/>
    <col min="7701" max="7701" width="12.28515625" style="12" hidden="1"/>
    <col min="7702" max="7702" width="17.28515625" style="12" hidden="1"/>
    <col min="7703" max="7703" width="16.28515625" style="12" hidden="1"/>
    <col min="7704" max="7704" width="22.5703125" style="12" hidden="1"/>
    <col min="7705" max="7705" width="21.140625" style="12" hidden="1"/>
    <col min="7706" max="7706" width="23.42578125" style="12" hidden="1"/>
    <col min="7707" max="7928" width="10.85546875" style="12" hidden="1"/>
    <col min="7929" max="7929" width="19.7109375" style="12" hidden="1"/>
    <col min="7930" max="7930" width="19.42578125" style="12" hidden="1"/>
    <col min="7931" max="7931" width="10.42578125" style="12" hidden="1"/>
    <col min="7932" max="7932" width="16.42578125" style="12" hidden="1"/>
    <col min="7933" max="7933" width="27.28515625" style="12" hidden="1"/>
    <col min="7934" max="7934" width="10.140625" style="12" hidden="1"/>
    <col min="7935" max="7935" width="18.140625" style="12" hidden="1"/>
    <col min="7936" max="7936" width="21" style="12" hidden="1"/>
    <col min="7937" max="7937" width="23.7109375" style="12" hidden="1"/>
    <col min="7938" max="7938" width="10.7109375" style="12" hidden="1"/>
    <col min="7939" max="7939" width="25.42578125" style="12" hidden="1"/>
    <col min="7940" max="7940" width="12.42578125" style="12" hidden="1"/>
    <col min="7941" max="7941" width="13.42578125" style="12" hidden="1"/>
    <col min="7942" max="7942" width="10.28515625" style="12" hidden="1"/>
    <col min="7943" max="7951" width="15.42578125" style="12" hidden="1"/>
    <col min="7952" max="7952" width="15.85546875" style="12" hidden="1"/>
    <col min="7953" max="7953" width="13.42578125" style="12" hidden="1"/>
    <col min="7954" max="7954" width="12.85546875" style="12" hidden="1"/>
    <col min="7955" max="7955" width="13.42578125" style="12" hidden="1"/>
    <col min="7956" max="7956" width="16" style="12" hidden="1"/>
    <col min="7957" max="7957" width="12.28515625" style="12" hidden="1"/>
    <col min="7958" max="7958" width="17.28515625" style="12" hidden="1"/>
    <col min="7959" max="7959" width="16.28515625" style="12" hidden="1"/>
    <col min="7960" max="7960" width="22.5703125" style="12" hidden="1"/>
    <col min="7961" max="7961" width="21.140625" style="12" hidden="1"/>
    <col min="7962" max="7962" width="23.42578125" style="12" hidden="1"/>
    <col min="7963" max="8184" width="10.85546875" style="12" hidden="1"/>
    <col min="8185" max="8185" width="19.7109375" style="12" hidden="1"/>
    <col min="8186" max="8186" width="19.42578125" style="12" hidden="1"/>
    <col min="8187" max="8187" width="10.42578125" style="12" hidden="1"/>
    <col min="8188" max="8188" width="16.42578125" style="12" hidden="1"/>
    <col min="8189" max="8189" width="27.28515625" style="12" hidden="1"/>
    <col min="8190" max="8190" width="10.140625" style="12" hidden="1"/>
    <col min="8191" max="8191" width="18.140625" style="12" hidden="1"/>
    <col min="8192" max="8192" width="21" style="12" hidden="1"/>
    <col min="8193" max="8193" width="23.7109375" style="12" hidden="1"/>
    <col min="8194" max="8194" width="10.7109375" style="12" hidden="1"/>
    <col min="8195" max="8195" width="25.42578125" style="12" hidden="1"/>
    <col min="8196" max="8196" width="12.42578125" style="12" hidden="1"/>
    <col min="8197" max="8197" width="13.42578125" style="12" hidden="1"/>
    <col min="8198" max="8198" width="10.28515625" style="12" hidden="1"/>
    <col min="8199" max="8207" width="15.42578125" style="12" hidden="1"/>
    <col min="8208" max="8208" width="15.85546875" style="12" hidden="1"/>
    <col min="8209" max="8209" width="13.42578125" style="12" hidden="1"/>
    <col min="8210" max="8210" width="12.85546875" style="12" hidden="1"/>
    <col min="8211" max="8211" width="13.42578125" style="12" hidden="1"/>
    <col min="8212" max="8212" width="16" style="12" hidden="1"/>
    <col min="8213" max="8213" width="12.28515625" style="12" hidden="1"/>
    <col min="8214" max="8214" width="17.28515625" style="12" hidden="1"/>
    <col min="8215" max="8215" width="16.28515625" style="12" hidden="1"/>
    <col min="8216" max="8216" width="22.5703125" style="12" hidden="1"/>
    <col min="8217" max="8217" width="21.140625" style="12" hidden="1"/>
    <col min="8218" max="8218" width="23.42578125" style="12" hidden="1"/>
    <col min="8219" max="8440" width="10.85546875" style="12" hidden="1"/>
    <col min="8441" max="8441" width="19.7109375" style="12" hidden="1"/>
    <col min="8442" max="8442" width="19.42578125" style="12" hidden="1"/>
    <col min="8443" max="8443" width="10.42578125" style="12" hidden="1"/>
    <col min="8444" max="8444" width="16.42578125" style="12" hidden="1"/>
    <col min="8445" max="8445" width="27.28515625" style="12" hidden="1"/>
    <col min="8446" max="8446" width="10.140625" style="12" hidden="1"/>
    <col min="8447" max="8447" width="18.140625" style="12" hidden="1"/>
    <col min="8448" max="8448" width="21" style="12" hidden="1"/>
    <col min="8449" max="8449" width="23.7109375" style="12" hidden="1"/>
    <col min="8450" max="8450" width="10.7109375" style="12" hidden="1"/>
    <col min="8451" max="8451" width="25.42578125" style="12" hidden="1"/>
    <col min="8452" max="8452" width="12.42578125" style="12" hidden="1"/>
    <col min="8453" max="8453" width="13.42578125" style="12" hidden="1"/>
    <col min="8454" max="8454" width="10.28515625" style="12" hidden="1"/>
    <col min="8455" max="8463" width="15.42578125" style="12" hidden="1"/>
    <col min="8464" max="8464" width="15.85546875" style="12" hidden="1"/>
    <col min="8465" max="8465" width="13.42578125" style="12" hidden="1"/>
    <col min="8466" max="8466" width="12.85546875" style="12" hidden="1"/>
    <col min="8467" max="8467" width="13.42578125" style="12" hidden="1"/>
    <col min="8468" max="8468" width="16" style="12" hidden="1"/>
    <col min="8469" max="8469" width="12.28515625" style="12" hidden="1"/>
    <col min="8470" max="8470" width="17.28515625" style="12" hidden="1"/>
    <col min="8471" max="8471" width="16.28515625" style="12" hidden="1"/>
    <col min="8472" max="8472" width="22.5703125" style="12" hidden="1"/>
    <col min="8473" max="8473" width="21.140625" style="12" hidden="1"/>
    <col min="8474" max="8474" width="23.42578125" style="12" hidden="1"/>
    <col min="8475" max="8696" width="10.85546875" style="12" hidden="1"/>
    <col min="8697" max="8697" width="19.7109375" style="12" hidden="1"/>
    <col min="8698" max="8698" width="19.42578125" style="12" hidden="1"/>
    <col min="8699" max="8699" width="10.42578125" style="12" hidden="1"/>
    <col min="8700" max="8700" width="16.42578125" style="12" hidden="1"/>
    <col min="8701" max="8701" width="27.28515625" style="12" hidden="1"/>
    <col min="8702" max="8702" width="10.140625" style="12" hidden="1"/>
    <col min="8703" max="8703" width="18.140625" style="12" hidden="1"/>
    <col min="8704" max="8704" width="21" style="12" hidden="1"/>
    <col min="8705" max="8705" width="23.7109375" style="12" hidden="1"/>
    <col min="8706" max="8706" width="10.7109375" style="12" hidden="1"/>
    <col min="8707" max="8707" width="25.42578125" style="12" hidden="1"/>
    <col min="8708" max="8708" width="12.42578125" style="12" hidden="1"/>
    <col min="8709" max="8709" width="13.42578125" style="12" hidden="1"/>
    <col min="8710" max="8710" width="10.28515625" style="12" hidden="1"/>
    <col min="8711" max="8719" width="15.42578125" style="12" hidden="1"/>
    <col min="8720" max="8720" width="15.85546875" style="12" hidden="1"/>
    <col min="8721" max="8721" width="13.42578125" style="12" hidden="1"/>
    <col min="8722" max="8722" width="12.85546875" style="12" hidden="1"/>
    <col min="8723" max="8723" width="13.42578125" style="12" hidden="1"/>
    <col min="8724" max="8724" width="16" style="12" hidden="1"/>
    <col min="8725" max="8725" width="12.28515625" style="12" hidden="1"/>
    <col min="8726" max="8726" width="17.28515625" style="12" hidden="1"/>
    <col min="8727" max="8727" width="16.28515625" style="12" hidden="1"/>
    <col min="8728" max="8728" width="22.5703125" style="12" hidden="1"/>
    <col min="8729" max="8729" width="21.140625" style="12" hidden="1"/>
    <col min="8730" max="8730" width="23.42578125" style="12" hidden="1"/>
    <col min="8731" max="8952" width="10.85546875" style="12" hidden="1"/>
    <col min="8953" max="8953" width="19.7109375" style="12" hidden="1"/>
    <col min="8954" max="8954" width="19.42578125" style="12" hidden="1"/>
    <col min="8955" max="8955" width="10.42578125" style="12" hidden="1"/>
    <col min="8956" max="8956" width="16.42578125" style="12" hidden="1"/>
    <col min="8957" max="8957" width="27.28515625" style="12" hidden="1"/>
    <col min="8958" max="8958" width="10.140625" style="12" hidden="1"/>
    <col min="8959" max="8959" width="18.140625" style="12" hidden="1"/>
    <col min="8960" max="8960" width="21" style="12" hidden="1"/>
    <col min="8961" max="8961" width="23.7109375" style="12" hidden="1"/>
    <col min="8962" max="8962" width="10.7109375" style="12" hidden="1"/>
    <col min="8963" max="8963" width="25.42578125" style="12" hidden="1"/>
    <col min="8964" max="8964" width="12.42578125" style="12" hidden="1"/>
    <col min="8965" max="8965" width="13.42578125" style="12" hidden="1"/>
    <col min="8966" max="8966" width="10.28515625" style="12" hidden="1"/>
    <col min="8967" max="8975" width="15.42578125" style="12" hidden="1"/>
    <col min="8976" max="8976" width="15.85546875" style="12" hidden="1"/>
    <col min="8977" max="8977" width="13.42578125" style="12" hidden="1"/>
    <col min="8978" max="8978" width="12.85546875" style="12" hidden="1"/>
    <col min="8979" max="8979" width="13.42578125" style="12" hidden="1"/>
    <col min="8980" max="8980" width="16" style="12" hidden="1"/>
    <col min="8981" max="8981" width="12.28515625" style="12" hidden="1"/>
    <col min="8982" max="8982" width="17.28515625" style="12" hidden="1"/>
    <col min="8983" max="8983" width="16.28515625" style="12" hidden="1"/>
    <col min="8984" max="8984" width="22.5703125" style="12" hidden="1"/>
    <col min="8985" max="8985" width="21.140625" style="12" hidden="1"/>
    <col min="8986" max="8986" width="23.42578125" style="12" hidden="1"/>
    <col min="8987" max="9208" width="10.85546875" style="12" hidden="1"/>
    <col min="9209" max="9209" width="19.7109375" style="12" hidden="1"/>
    <col min="9210" max="9210" width="19.42578125" style="12" hidden="1"/>
    <col min="9211" max="9211" width="10.42578125" style="12" hidden="1"/>
    <col min="9212" max="9212" width="16.42578125" style="12" hidden="1"/>
    <col min="9213" max="9213" width="27.28515625" style="12" hidden="1"/>
    <col min="9214" max="9214" width="10.140625" style="12" hidden="1"/>
    <col min="9215" max="9215" width="18.140625" style="12" hidden="1"/>
    <col min="9216" max="9216" width="21" style="12" hidden="1"/>
    <col min="9217" max="9217" width="23.7109375" style="12" hidden="1"/>
    <col min="9218" max="9218" width="10.7109375" style="12" hidden="1"/>
    <col min="9219" max="9219" width="25.42578125" style="12" hidden="1"/>
    <col min="9220" max="9220" width="12.42578125" style="12" hidden="1"/>
    <col min="9221" max="9221" width="13.42578125" style="12" hidden="1"/>
    <col min="9222" max="9222" width="10.28515625" style="12" hidden="1"/>
    <col min="9223" max="9231" width="15.42578125" style="12" hidden="1"/>
    <col min="9232" max="9232" width="15.85546875" style="12" hidden="1"/>
    <col min="9233" max="9233" width="13.42578125" style="12" hidden="1"/>
    <col min="9234" max="9234" width="12.85546875" style="12" hidden="1"/>
    <col min="9235" max="9235" width="13.42578125" style="12" hidden="1"/>
    <col min="9236" max="9236" width="16" style="12" hidden="1"/>
    <col min="9237" max="9237" width="12.28515625" style="12" hidden="1"/>
    <col min="9238" max="9238" width="17.28515625" style="12" hidden="1"/>
    <col min="9239" max="9239" width="16.28515625" style="12" hidden="1"/>
    <col min="9240" max="9240" width="22.5703125" style="12" hidden="1"/>
    <col min="9241" max="9241" width="21.140625" style="12" hidden="1"/>
    <col min="9242" max="9242" width="23.42578125" style="12" hidden="1"/>
    <col min="9243" max="9464" width="10.85546875" style="12" hidden="1"/>
    <col min="9465" max="9465" width="19.7109375" style="12" hidden="1"/>
    <col min="9466" max="9466" width="19.42578125" style="12" hidden="1"/>
    <col min="9467" max="9467" width="10.42578125" style="12" hidden="1"/>
    <col min="9468" max="9468" width="16.42578125" style="12" hidden="1"/>
    <col min="9469" max="9469" width="27.28515625" style="12" hidden="1"/>
    <col min="9470" max="9470" width="10.140625" style="12" hidden="1"/>
    <col min="9471" max="9471" width="18.140625" style="12" hidden="1"/>
    <col min="9472" max="9472" width="21" style="12" hidden="1"/>
    <col min="9473" max="9473" width="23.7109375" style="12" hidden="1"/>
    <col min="9474" max="9474" width="10.7109375" style="12" hidden="1"/>
    <col min="9475" max="9475" width="25.42578125" style="12" hidden="1"/>
    <col min="9476" max="9476" width="12.42578125" style="12" hidden="1"/>
    <col min="9477" max="9477" width="13.42578125" style="12" hidden="1"/>
    <col min="9478" max="9478" width="10.28515625" style="12" hidden="1"/>
    <col min="9479" max="9487" width="15.42578125" style="12" hidden="1"/>
    <col min="9488" max="9488" width="15.85546875" style="12" hidden="1"/>
    <col min="9489" max="9489" width="13.42578125" style="12" hidden="1"/>
    <col min="9490" max="9490" width="12.85546875" style="12" hidden="1"/>
    <col min="9491" max="9491" width="13.42578125" style="12" hidden="1"/>
    <col min="9492" max="9492" width="16" style="12" hidden="1"/>
    <col min="9493" max="9493" width="12.28515625" style="12" hidden="1"/>
    <col min="9494" max="9494" width="17.28515625" style="12" hidden="1"/>
    <col min="9495" max="9495" width="16.28515625" style="12" hidden="1"/>
    <col min="9496" max="9496" width="22.5703125" style="12" hidden="1"/>
    <col min="9497" max="9497" width="21.140625" style="12" hidden="1"/>
    <col min="9498" max="9498" width="23.42578125" style="12" hidden="1"/>
    <col min="9499" max="9720" width="10.85546875" style="12" hidden="1"/>
    <col min="9721" max="9721" width="19.7109375" style="12" hidden="1"/>
    <col min="9722" max="9722" width="19.42578125" style="12" hidden="1"/>
    <col min="9723" max="9723" width="10.42578125" style="12" hidden="1"/>
    <col min="9724" max="9724" width="16.42578125" style="12" hidden="1"/>
    <col min="9725" max="9725" width="27.28515625" style="12" hidden="1"/>
    <col min="9726" max="9726" width="10.140625" style="12" hidden="1"/>
    <col min="9727" max="9727" width="18.140625" style="12" hidden="1"/>
    <col min="9728" max="9728" width="21" style="12" hidden="1"/>
    <col min="9729" max="9729" width="23.7109375" style="12" hidden="1"/>
    <col min="9730" max="9730" width="10.7109375" style="12" hidden="1"/>
    <col min="9731" max="9731" width="25.42578125" style="12" hidden="1"/>
    <col min="9732" max="9732" width="12.42578125" style="12" hidden="1"/>
    <col min="9733" max="9733" width="13.42578125" style="12" hidden="1"/>
    <col min="9734" max="9734" width="10.28515625" style="12" hidden="1"/>
    <col min="9735" max="9743" width="15.42578125" style="12" hidden="1"/>
    <col min="9744" max="9744" width="15.85546875" style="12" hidden="1"/>
    <col min="9745" max="9745" width="13.42578125" style="12" hidden="1"/>
    <col min="9746" max="9746" width="12.85546875" style="12" hidden="1"/>
    <col min="9747" max="9747" width="13.42578125" style="12" hidden="1"/>
    <col min="9748" max="9748" width="16" style="12" hidden="1"/>
    <col min="9749" max="9749" width="12.28515625" style="12" hidden="1"/>
    <col min="9750" max="9750" width="17.28515625" style="12" hidden="1"/>
    <col min="9751" max="9751" width="16.28515625" style="12" hidden="1"/>
    <col min="9752" max="9752" width="22.5703125" style="12" hidden="1"/>
    <col min="9753" max="9753" width="21.140625" style="12" hidden="1"/>
    <col min="9754" max="9754" width="23.42578125" style="12" hidden="1"/>
    <col min="9755" max="9976" width="10.85546875" style="12" hidden="1"/>
    <col min="9977" max="9977" width="19.7109375" style="12" hidden="1"/>
    <col min="9978" max="9978" width="19.42578125" style="12" hidden="1"/>
    <col min="9979" max="9979" width="10.42578125" style="12" hidden="1"/>
    <col min="9980" max="9980" width="16.42578125" style="12" hidden="1"/>
    <col min="9981" max="9981" width="27.28515625" style="12" hidden="1"/>
    <col min="9982" max="9982" width="10.140625" style="12" hidden="1"/>
    <col min="9983" max="9983" width="18.140625" style="12" hidden="1"/>
    <col min="9984" max="9984" width="21" style="12" hidden="1"/>
    <col min="9985" max="9985" width="23.7109375" style="12" hidden="1"/>
    <col min="9986" max="9986" width="10.7109375" style="12" hidden="1"/>
    <col min="9987" max="9987" width="25.42578125" style="12" hidden="1"/>
    <col min="9988" max="9988" width="12.42578125" style="12" hidden="1"/>
    <col min="9989" max="9989" width="13.42578125" style="12" hidden="1"/>
    <col min="9990" max="9990" width="10.28515625" style="12" hidden="1"/>
    <col min="9991" max="9999" width="15.42578125" style="12" hidden="1"/>
    <col min="10000" max="10000" width="15.85546875" style="12" hidden="1"/>
    <col min="10001" max="10001" width="13.42578125" style="12" hidden="1"/>
    <col min="10002" max="10002" width="12.85546875" style="12" hidden="1"/>
    <col min="10003" max="10003" width="13.42578125" style="12" hidden="1"/>
    <col min="10004" max="10004" width="16" style="12" hidden="1"/>
    <col min="10005" max="10005" width="12.28515625" style="12" hidden="1"/>
    <col min="10006" max="10006" width="17.28515625" style="12" hidden="1"/>
    <col min="10007" max="10007" width="16.28515625" style="12" hidden="1"/>
    <col min="10008" max="10008" width="22.5703125" style="12" hidden="1"/>
    <col min="10009" max="10009" width="21.140625" style="12" hidden="1"/>
    <col min="10010" max="10010" width="23.42578125" style="12" hidden="1"/>
    <col min="10011" max="10232" width="10.85546875" style="12" hidden="1"/>
    <col min="10233" max="10233" width="19.7109375" style="12" hidden="1"/>
    <col min="10234" max="10234" width="19.42578125" style="12" hidden="1"/>
    <col min="10235" max="10235" width="10.42578125" style="12" hidden="1"/>
    <col min="10236" max="10236" width="16.42578125" style="12" hidden="1"/>
    <col min="10237" max="10237" width="27.28515625" style="12" hidden="1"/>
    <col min="10238" max="10238" width="10.140625" style="12" hidden="1"/>
    <col min="10239" max="10239" width="18.140625" style="12" hidden="1"/>
    <col min="10240" max="10240" width="21" style="12" hidden="1"/>
    <col min="10241" max="10241" width="23.7109375" style="12" hidden="1"/>
    <col min="10242" max="10242" width="10.7109375" style="12" hidden="1"/>
    <col min="10243" max="10243" width="25.42578125" style="12" hidden="1"/>
    <col min="10244" max="10244" width="12.42578125" style="12" hidden="1"/>
    <col min="10245" max="10245" width="13.42578125" style="12" hidden="1"/>
    <col min="10246" max="10246" width="10.28515625" style="12" hidden="1"/>
    <col min="10247" max="10255" width="15.42578125" style="12" hidden="1"/>
    <col min="10256" max="10256" width="15.85546875" style="12" hidden="1"/>
    <col min="10257" max="10257" width="13.42578125" style="12" hidden="1"/>
    <col min="10258" max="10258" width="12.85546875" style="12" hidden="1"/>
    <col min="10259" max="10259" width="13.42578125" style="12" hidden="1"/>
    <col min="10260" max="10260" width="16" style="12" hidden="1"/>
    <col min="10261" max="10261" width="12.28515625" style="12" hidden="1"/>
    <col min="10262" max="10262" width="17.28515625" style="12" hidden="1"/>
    <col min="10263" max="10263" width="16.28515625" style="12" hidden="1"/>
    <col min="10264" max="10264" width="22.5703125" style="12" hidden="1"/>
    <col min="10265" max="10265" width="21.140625" style="12" hidden="1"/>
    <col min="10266" max="10266" width="23.42578125" style="12" hidden="1"/>
    <col min="10267" max="10488" width="10.85546875" style="12" hidden="1"/>
    <col min="10489" max="10489" width="19.7109375" style="12" hidden="1"/>
    <col min="10490" max="10490" width="19.42578125" style="12" hidden="1"/>
    <col min="10491" max="10491" width="10.42578125" style="12" hidden="1"/>
    <col min="10492" max="10492" width="16.42578125" style="12" hidden="1"/>
    <col min="10493" max="10493" width="27.28515625" style="12" hidden="1"/>
    <col min="10494" max="10494" width="10.140625" style="12" hidden="1"/>
    <col min="10495" max="10495" width="18.140625" style="12" hidden="1"/>
    <col min="10496" max="10496" width="21" style="12" hidden="1"/>
    <col min="10497" max="10497" width="23.7109375" style="12" hidden="1"/>
    <col min="10498" max="10498" width="10.7109375" style="12" hidden="1"/>
    <col min="10499" max="10499" width="25.42578125" style="12" hidden="1"/>
    <col min="10500" max="10500" width="12.42578125" style="12" hidden="1"/>
    <col min="10501" max="10501" width="13.42578125" style="12" hidden="1"/>
    <col min="10502" max="10502" width="10.28515625" style="12" hidden="1"/>
    <col min="10503" max="10511" width="15.42578125" style="12" hidden="1"/>
    <col min="10512" max="10512" width="15.85546875" style="12" hidden="1"/>
    <col min="10513" max="10513" width="13.42578125" style="12" hidden="1"/>
    <col min="10514" max="10514" width="12.85546875" style="12" hidden="1"/>
    <col min="10515" max="10515" width="13.42578125" style="12" hidden="1"/>
    <col min="10516" max="10516" width="16" style="12" hidden="1"/>
    <col min="10517" max="10517" width="12.28515625" style="12" hidden="1"/>
    <col min="10518" max="10518" width="17.28515625" style="12" hidden="1"/>
    <col min="10519" max="10519" width="16.28515625" style="12" hidden="1"/>
    <col min="10520" max="10520" width="22.5703125" style="12" hidden="1"/>
    <col min="10521" max="10521" width="21.140625" style="12" hidden="1"/>
    <col min="10522" max="10522" width="23.42578125" style="12" hidden="1"/>
    <col min="10523" max="10744" width="10.85546875" style="12" hidden="1"/>
    <col min="10745" max="10745" width="19.7109375" style="12" hidden="1"/>
    <col min="10746" max="10746" width="19.42578125" style="12" hidden="1"/>
    <col min="10747" max="10747" width="10.42578125" style="12" hidden="1"/>
    <col min="10748" max="10748" width="16.42578125" style="12" hidden="1"/>
    <col min="10749" max="10749" width="27.28515625" style="12" hidden="1"/>
    <col min="10750" max="10750" width="10.140625" style="12" hidden="1"/>
    <col min="10751" max="10751" width="18.140625" style="12" hidden="1"/>
    <col min="10752" max="10752" width="21" style="12" hidden="1"/>
    <col min="10753" max="10753" width="23.7109375" style="12" hidden="1"/>
    <col min="10754" max="10754" width="10.7109375" style="12" hidden="1"/>
    <col min="10755" max="10755" width="25.42578125" style="12" hidden="1"/>
    <col min="10756" max="10756" width="12.42578125" style="12" hidden="1"/>
    <col min="10757" max="10757" width="13.42578125" style="12" hidden="1"/>
    <col min="10758" max="10758" width="10.28515625" style="12" hidden="1"/>
    <col min="10759" max="10767" width="15.42578125" style="12" hidden="1"/>
    <col min="10768" max="10768" width="15.85546875" style="12" hidden="1"/>
    <col min="10769" max="10769" width="13.42578125" style="12" hidden="1"/>
    <col min="10770" max="10770" width="12.85546875" style="12" hidden="1"/>
    <col min="10771" max="10771" width="13.42578125" style="12" hidden="1"/>
    <col min="10772" max="10772" width="16" style="12" hidden="1"/>
    <col min="10773" max="10773" width="12.28515625" style="12" hidden="1"/>
    <col min="10774" max="10774" width="17.28515625" style="12" hidden="1"/>
    <col min="10775" max="10775" width="16.28515625" style="12" hidden="1"/>
    <col min="10776" max="10776" width="22.5703125" style="12" hidden="1"/>
    <col min="10777" max="10777" width="21.140625" style="12" hidden="1"/>
    <col min="10778" max="10778" width="23.42578125" style="12" hidden="1"/>
    <col min="10779" max="11000" width="10.85546875" style="12" hidden="1"/>
    <col min="11001" max="11001" width="19.7109375" style="12" hidden="1"/>
    <col min="11002" max="11002" width="19.42578125" style="12" hidden="1"/>
    <col min="11003" max="11003" width="10.42578125" style="12" hidden="1"/>
    <col min="11004" max="11004" width="16.42578125" style="12" hidden="1"/>
    <col min="11005" max="11005" width="27.28515625" style="12" hidden="1"/>
    <col min="11006" max="11006" width="10.140625" style="12" hidden="1"/>
    <col min="11007" max="11007" width="18.140625" style="12" hidden="1"/>
    <col min="11008" max="11008" width="21" style="12" hidden="1"/>
    <col min="11009" max="11009" width="23.7109375" style="12" hidden="1"/>
    <col min="11010" max="11010" width="10.7109375" style="12" hidden="1"/>
    <col min="11011" max="11011" width="25.42578125" style="12" hidden="1"/>
    <col min="11012" max="11012" width="12.42578125" style="12" hidden="1"/>
    <col min="11013" max="11013" width="13.42578125" style="12" hidden="1"/>
    <col min="11014" max="11014" width="10.28515625" style="12" hidden="1"/>
    <col min="11015" max="11023" width="15.42578125" style="12" hidden="1"/>
    <col min="11024" max="11024" width="15.85546875" style="12" hidden="1"/>
    <col min="11025" max="11025" width="13.42578125" style="12" hidden="1"/>
    <col min="11026" max="11026" width="12.85546875" style="12" hidden="1"/>
    <col min="11027" max="11027" width="13.42578125" style="12" hidden="1"/>
    <col min="11028" max="11028" width="16" style="12" hidden="1"/>
    <col min="11029" max="11029" width="12.28515625" style="12" hidden="1"/>
    <col min="11030" max="11030" width="17.28515625" style="12" hidden="1"/>
    <col min="11031" max="11031" width="16.28515625" style="12" hidden="1"/>
    <col min="11032" max="11032" width="22.5703125" style="12" hidden="1"/>
    <col min="11033" max="11033" width="21.140625" style="12" hidden="1"/>
    <col min="11034" max="11034" width="23.42578125" style="12" hidden="1"/>
    <col min="11035" max="11256" width="10.85546875" style="12" hidden="1"/>
    <col min="11257" max="11257" width="19.7109375" style="12" hidden="1"/>
    <col min="11258" max="11258" width="19.42578125" style="12" hidden="1"/>
    <col min="11259" max="11259" width="10.42578125" style="12" hidden="1"/>
    <col min="11260" max="11260" width="16.42578125" style="12" hidden="1"/>
    <col min="11261" max="11261" width="27.28515625" style="12" hidden="1"/>
    <col min="11262" max="11262" width="10.140625" style="12" hidden="1"/>
    <col min="11263" max="11263" width="18.140625" style="12" hidden="1"/>
    <col min="11264" max="11264" width="21" style="12" hidden="1"/>
    <col min="11265" max="11265" width="23.7109375" style="12" hidden="1"/>
    <col min="11266" max="11266" width="10.7109375" style="12" hidden="1"/>
    <col min="11267" max="11267" width="25.42578125" style="12" hidden="1"/>
    <col min="11268" max="11268" width="12.42578125" style="12" hidden="1"/>
    <col min="11269" max="11269" width="13.42578125" style="12" hidden="1"/>
    <col min="11270" max="11270" width="10.28515625" style="12" hidden="1"/>
    <col min="11271" max="11279" width="15.42578125" style="12" hidden="1"/>
    <col min="11280" max="11280" width="15.85546875" style="12" hidden="1"/>
    <col min="11281" max="11281" width="13.42578125" style="12" hidden="1"/>
    <col min="11282" max="11282" width="12.85546875" style="12" hidden="1"/>
    <col min="11283" max="11283" width="13.42578125" style="12" hidden="1"/>
    <col min="11284" max="11284" width="16" style="12" hidden="1"/>
    <col min="11285" max="11285" width="12.28515625" style="12" hidden="1"/>
    <col min="11286" max="11286" width="17.28515625" style="12" hidden="1"/>
    <col min="11287" max="11287" width="16.28515625" style="12" hidden="1"/>
    <col min="11288" max="11288" width="22.5703125" style="12" hidden="1"/>
    <col min="11289" max="11289" width="21.140625" style="12" hidden="1"/>
    <col min="11290" max="11290" width="23.42578125" style="12" hidden="1"/>
    <col min="11291" max="11512" width="10.85546875" style="12" hidden="1"/>
    <col min="11513" max="11513" width="19.7109375" style="12" hidden="1"/>
    <col min="11514" max="11514" width="19.42578125" style="12" hidden="1"/>
    <col min="11515" max="11515" width="10.42578125" style="12" hidden="1"/>
    <col min="11516" max="11516" width="16.42578125" style="12" hidden="1"/>
    <col min="11517" max="11517" width="27.28515625" style="12" hidden="1"/>
    <col min="11518" max="11518" width="10.140625" style="12" hidden="1"/>
    <col min="11519" max="11519" width="18.140625" style="12" hidden="1"/>
    <col min="11520" max="11520" width="21" style="12" hidden="1"/>
    <col min="11521" max="11521" width="23.7109375" style="12" hidden="1"/>
    <col min="11522" max="11522" width="10.7109375" style="12" hidden="1"/>
    <col min="11523" max="11523" width="25.42578125" style="12" hidden="1"/>
    <col min="11524" max="11524" width="12.42578125" style="12" hidden="1"/>
    <col min="11525" max="11525" width="13.42578125" style="12" hidden="1"/>
    <col min="11526" max="11526" width="10.28515625" style="12" hidden="1"/>
    <col min="11527" max="11535" width="15.42578125" style="12" hidden="1"/>
    <col min="11536" max="11536" width="15.85546875" style="12" hidden="1"/>
    <col min="11537" max="11537" width="13.42578125" style="12" hidden="1"/>
    <col min="11538" max="11538" width="12.85546875" style="12" hidden="1"/>
    <col min="11539" max="11539" width="13.42578125" style="12" hidden="1"/>
    <col min="11540" max="11540" width="16" style="12" hidden="1"/>
    <col min="11541" max="11541" width="12.28515625" style="12" hidden="1"/>
    <col min="11542" max="11542" width="17.28515625" style="12" hidden="1"/>
    <col min="11543" max="11543" width="16.28515625" style="12" hidden="1"/>
    <col min="11544" max="11544" width="22.5703125" style="12" hidden="1"/>
    <col min="11545" max="11545" width="21.140625" style="12" hidden="1"/>
    <col min="11546" max="11546" width="23.42578125" style="12" hidden="1"/>
    <col min="11547" max="11768" width="10.85546875" style="12" hidden="1"/>
    <col min="11769" max="11769" width="19.7109375" style="12" hidden="1"/>
    <col min="11770" max="11770" width="19.42578125" style="12" hidden="1"/>
    <col min="11771" max="11771" width="10.42578125" style="12" hidden="1"/>
    <col min="11772" max="11772" width="16.42578125" style="12" hidden="1"/>
    <col min="11773" max="11773" width="27.28515625" style="12" hidden="1"/>
    <col min="11774" max="11774" width="10.140625" style="12" hidden="1"/>
    <col min="11775" max="11775" width="18.140625" style="12" hidden="1"/>
    <col min="11776" max="11776" width="21" style="12" hidden="1"/>
    <col min="11777" max="11777" width="23.7109375" style="12" hidden="1"/>
    <col min="11778" max="11778" width="10.7109375" style="12" hidden="1"/>
    <col min="11779" max="11779" width="25.42578125" style="12" hidden="1"/>
    <col min="11780" max="11780" width="12.42578125" style="12" hidden="1"/>
    <col min="11781" max="11781" width="13.42578125" style="12" hidden="1"/>
    <col min="11782" max="11782" width="10.28515625" style="12" hidden="1"/>
    <col min="11783" max="11791" width="15.42578125" style="12" hidden="1"/>
    <col min="11792" max="11792" width="15.85546875" style="12" hidden="1"/>
    <col min="11793" max="11793" width="13.42578125" style="12" hidden="1"/>
    <col min="11794" max="11794" width="12.85546875" style="12" hidden="1"/>
    <col min="11795" max="11795" width="13.42578125" style="12" hidden="1"/>
    <col min="11796" max="11796" width="16" style="12" hidden="1"/>
    <col min="11797" max="11797" width="12.28515625" style="12" hidden="1"/>
    <col min="11798" max="11798" width="17.28515625" style="12" hidden="1"/>
    <col min="11799" max="11799" width="16.28515625" style="12" hidden="1"/>
    <col min="11800" max="11800" width="22.5703125" style="12" hidden="1"/>
    <col min="11801" max="11801" width="21.140625" style="12" hidden="1"/>
    <col min="11802" max="11802" width="23.42578125" style="12" hidden="1"/>
    <col min="11803" max="12024" width="10.85546875" style="12" hidden="1"/>
    <col min="12025" max="12025" width="19.7109375" style="12" hidden="1"/>
    <col min="12026" max="12026" width="19.42578125" style="12" hidden="1"/>
    <col min="12027" max="12027" width="10.42578125" style="12" hidden="1"/>
    <col min="12028" max="12028" width="16.42578125" style="12" hidden="1"/>
    <col min="12029" max="12029" width="27.28515625" style="12" hidden="1"/>
    <col min="12030" max="12030" width="10.140625" style="12" hidden="1"/>
    <col min="12031" max="12031" width="18.140625" style="12" hidden="1"/>
    <col min="12032" max="12032" width="21" style="12" hidden="1"/>
    <col min="12033" max="12033" width="23.7109375" style="12" hidden="1"/>
    <col min="12034" max="12034" width="10.7109375" style="12" hidden="1"/>
    <col min="12035" max="12035" width="25.42578125" style="12" hidden="1"/>
    <col min="12036" max="12036" width="12.42578125" style="12" hidden="1"/>
    <col min="12037" max="12037" width="13.42578125" style="12" hidden="1"/>
    <col min="12038" max="12038" width="10.28515625" style="12" hidden="1"/>
    <col min="12039" max="12047" width="15.42578125" style="12" hidden="1"/>
    <col min="12048" max="12048" width="15.85546875" style="12" hidden="1"/>
    <col min="12049" max="12049" width="13.42578125" style="12" hidden="1"/>
    <col min="12050" max="12050" width="12.85546875" style="12" hidden="1"/>
    <col min="12051" max="12051" width="13.42578125" style="12" hidden="1"/>
    <col min="12052" max="12052" width="16" style="12" hidden="1"/>
    <col min="12053" max="12053" width="12.28515625" style="12" hidden="1"/>
    <col min="12054" max="12054" width="17.28515625" style="12" hidden="1"/>
    <col min="12055" max="12055" width="16.28515625" style="12" hidden="1"/>
    <col min="12056" max="12056" width="22.5703125" style="12" hidden="1"/>
    <col min="12057" max="12057" width="21.140625" style="12" hidden="1"/>
    <col min="12058" max="12058" width="23.42578125" style="12" hidden="1"/>
    <col min="12059" max="12280" width="10.85546875" style="12" hidden="1"/>
    <col min="12281" max="12281" width="19.7109375" style="12" hidden="1"/>
    <col min="12282" max="12282" width="19.42578125" style="12" hidden="1"/>
    <col min="12283" max="12283" width="10.42578125" style="12" hidden="1"/>
    <col min="12284" max="12284" width="16.42578125" style="12" hidden="1"/>
    <col min="12285" max="12285" width="27.28515625" style="12" hidden="1"/>
    <col min="12286" max="12286" width="10.140625" style="12" hidden="1"/>
    <col min="12287" max="12287" width="18.140625" style="12" hidden="1"/>
    <col min="12288" max="12288" width="21" style="12" hidden="1"/>
    <col min="12289" max="12289" width="23.7109375" style="12" hidden="1"/>
    <col min="12290" max="12290" width="10.7109375" style="12" hidden="1"/>
    <col min="12291" max="12291" width="25.42578125" style="12" hidden="1"/>
    <col min="12292" max="12292" width="12.42578125" style="12" hidden="1"/>
    <col min="12293" max="12293" width="13.42578125" style="12" hidden="1"/>
    <col min="12294" max="12294" width="10.28515625" style="12" hidden="1"/>
    <col min="12295" max="12303" width="15.42578125" style="12" hidden="1"/>
    <col min="12304" max="12304" width="15.85546875" style="12" hidden="1"/>
    <col min="12305" max="12305" width="13.42578125" style="12" hidden="1"/>
    <col min="12306" max="12306" width="12.85546875" style="12" hidden="1"/>
    <col min="12307" max="12307" width="13.42578125" style="12" hidden="1"/>
    <col min="12308" max="12308" width="16" style="12" hidden="1"/>
    <col min="12309" max="12309" width="12.28515625" style="12" hidden="1"/>
    <col min="12310" max="12310" width="17.28515625" style="12" hidden="1"/>
    <col min="12311" max="12311" width="16.28515625" style="12" hidden="1"/>
    <col min="12312" max="12312" width="22.5703125" style="12" hidden="1"/>
    <col min="12313" max="12313" width="21.140625" style="12" hidden="1"/>
    <col min="12314" max="12314" width="23.42578125" style="12" hidden="1"/>
    <col min="12315" max="12536" width="10.85546875" style="12" hidden="1"/>
    <col min="12537" max="12537" width="19.7109375" style="12" hidden="1"/>
    <col min="12538" max="12538" width="19.42578125" style="12" hidden="1"/>
    <col min="12539" max="12539" width="10.42578125" style="12" hidden="1"/>
    <col min="12540" max="12540" width="16.42578125" style="12" hidden="1"/>
    <col min="12541" max="12541" width="27.28515625" style="12" hidden="1"/>
    <col min="12542" max="12542" width="10.140625" style="12" hidden="1"/>
    <col min="12543" max="12543" width="18.140625" style="12" hidden="1"/>
    <col min="12544" max="12544" width="21" style="12" hidden="1"/>
    <col min="12545" max="12545" width="23.7109375" style="12" hidden="1"/>
    <col min="12546" max="12546" width="10.7109375" style="12" hidden="1"/>
    <col min="12547" max="12547" width="25.42578125" style="12" hidden="1"/>
    <col min="12548" max="12548" width="12.42578125" style="12" hidden="1"/>
    <col min="12549" max="12549" width="13.42578125" style="12" hidden="1"/>
    <col min="12550" max="12550" width="10.28515625" style="12" hidden="1"/>
    <col min="12551" max="12559" width="15.42578125" style="12" hidden="1"/>
    <col min="12560" max="12560" width="15.85546875" style="12" hidden="1"/>
    <col min="12561" max="12561" width="13.42578125" style="12" hidden="1"/>
    <col min="12562" max="12562" width="12.85546875" style="12" hidden="1"/>
    <col min="12563" max="12563" width="13.42578125" style="12" hidden="1"/>
    <col min="12564" max="12564" width="16" style="12" hidden="1"/>
    <col min="12565" max="12565" width="12.28515625" style="12" hidden="1"/>
    <col min="12566" max="12566" width="17.28515625" style="12" hidden="1"/>
    <col min="12567" max="12567" width="16.28515625" style="12" hidden="1"/>
    <col min="12568" max="12568" width="22.5703125" style="12" hidden="1"/>
    <col min="12569" max="12569" width="21.140625" style="12" hidden="1"/>
    <col min="12570" max="12570" width="23.42578125" style="12" hidden="1"/>
    <col min="12571" max="12792" width="10.85546875" style="12" hidden="1"/>
    <col min="12793" max="12793" width="19.7109375" style="12" hidden="1"/>
    <col min="12794" max="12794" width="19.42578125" style="12" hidden="1"/>
    <col min="12795" max="12795" width="10.42578125" style="12" hidden="1"/>
    <col min="12796" max="12796" width="16.42578125" style="12" hidden="1"/>
    <col min="12797" max="12797" width="27.28515625" style="12" hidden="1"/>
    <col min="12798" max="12798" width="10.140625" style="12" hidden="1"/>
    <col min="12799" max="12799" width="18.140625" style="12" hidden="1"/>
    <col min="12800" max="12800" width="21" style="12" hidden="1"/>
    <col min="12801" max="12801" width="23.7109375" style="12" hidden="1"/>
    <col min="12802" max="12802" width="10.7109375" style="12" hidden="1"/>
    <col min="12803" max="12803" width="25.42578125" style="12" hidden="1"/>
    <col min="12804" max="12804" width="12.42578125" style="12" hidden="1"/>
    <col min="12805" max="12805" width="13.42578125" style="12" hidden="1"/>
    <col min="12806" max="12806" width="10.28515625" style="12" hidden="1"/>
    <col min="12807" max="12815" width="15.42578125" style="12" hidden="1"/>
    <col min="12816" max="12816" width="15.85546875" style="12" hidden="1"/>
    <col min="12817" max="12817" width="13.42578125" style="12" hidden="1"/>
    <col min="12818" max="12818" width="12.85546875" style="12" hidden="1"/>
    <col min="12819" max="12819" width="13.42578125" style="12" hidden="1"/>
    <col min="12820" max="12820" width="16" style="12" hidden="1"/>
    <col min="12821" max="12821" width="12.28515625" style="12" hidden="1"/>
    <col min="12822" max="12822" width="17.28515625" style="12" hidden="1"/>
    <col min="12823" max="12823" width="16.28515625" style="12" hidden="1"/>
    <col min="12824" max="12824" width="22.5703125" style="12" hidden="1"/>
    <col min="12825" max="12825" width="21.140625" style="12" hidden="1"/>
    <col min="12826" max="12826" width="23.42578125" style="12" hidden="1"/>
    <col min="12827" max="13048" width="10.85546875" style="12" hidden="1"/>
    <col min="13049" max="13049" width="19.7109375" style="12" hidden="1"/>
    <col min="13050" max="13050" width="19.42578125" style="12" hidden="1"/>
    <col min="13051" max="13051" width="10.42578125" style="12" hidden="1"/>
    <col min="13052" max="13052" width="16.42578125" style="12" hidden="1"/>
    <col min="13053" max="13053" width="27.28515625" style="12" hidden="1"/>
    <col min="13054" max="13054" width="10.140625" style="12" hidden="1"/>
    <col min="13055" max="13055" width="18.140625" style="12" hidden="1"/>
    <col min="13056" max="13056" width="21" style="12" hidden="1"/>
    <col min="13057" max="13057" width="23.7109375" style="12" hidden="1"/>
    <col min="13058" max="13058" width="10.7109375" style="12" hidden="1"/>
    <col min="13059" max="13059" width="25.42578125" style="12" hidden="1"/>
    <col min="13060" max="13060" width="12.42578125" style="12" hidden="1"/>
    <col min="13061" max="13061" width="13.42578125" style="12" hidden="1"/>
    <col min="13062" max="13062" width="10.28515625" style="12" hidden="1"/>
    <col min="13063" max="13071" width="15.42578125" style="12" hidden="1"/>
    <col min="13072" max="13072" width="15.85546875" style="12" hidden="1"/>
    <col min="13073" max="13073" width="13.42578125" style="12" hidden="1"/>
    <col min="13074" max="13074" width="12.85546875" style="12" hidden="1"/>
    <col min="13075" max="13075" width="13.42578125" style="12" hidden="1"/>
    <col min="13076" max="13076" width="16" style="12" hidden="1"/>
    <col min="13077" max="13077" width="12.28515625" style="12" hidden="1"/>
    <col min="13078" max="13078" width="17.28515625" style="12" hidden="1"/>
    <col min="13079" max="13079" width="16.28515625" style="12" hidden="1"/>
    <col min="13080" max="13080" width="22.5703125" style="12" hidden="1"/>
    <col min="13081" max="13081" width="21.140625" style="12" hidden="1"/>
    <col min="13082" max="13082" width="23.42578125" style="12" hidden="1"/>
    <col min="13083" max="13304" width="10.85546875" style="12" hidden="1"/>
    <col min="13305" max="13305" width="19.7109375" style="12" hidden="1"/>
    <col min="13306" max="13306" width="19.42578125" style="12" hidden="1"/>
    <col min="13307" max="13307" width="10.42578125" style="12" hidden="1"/>
    <col min="13308" max="13308" width="16.42578125" style="12" hidden="1"/>
    <col min="13309" max="13309" width="27.28515625" style="12" hidden="1"/>
    <col min="13310" max="13310" width="10.140625" style="12" hidden="1"/>
    <col min="13311" max="13311" width="18.140625" style="12" hidden="1"/>
    <col min="13312" max="13312" width="21" style="12" hidden="1"/>
    <col min="13313" max="13313" width="23.7109375" style="12" hidden="1"/>
    <col min="13314" max="13314" width="10.7109375" style="12" hidden="1"/>
    <col min="13315" max="13315" width="25.42578125" style="12" hidden="1"/>
    <col min="13316" max="13316" width="12.42578125" style="12" hidden="1"/>
    <col min="13317" max="13317" width="13.42578125" style="12" hidden="1"/>
    <col min="13318" max="13318" width="10.28515625" style="12" hidden="1"/>
    <col min="13319" max="13327" width="15.42578125" style="12" hidden="1"/>
    <col min="13328" max="13328" width="15.85546875" style="12" hidden="1"/>
    <col min="13329" max="13329" width="13.42578125" style="12" hidden="1"/>
    <col min="13330" max="13330" width="12.85546875" style="12" hidden="1"/>
    <col min="13331" max="13331" width="13.42578125" style="12" hidden="1"/>
    <col min="13332" max="13332" width="16" style="12" hidden="1"/>
    <col min="13333" max="13333" width="12.28515625" style="12" hidden="1"/>
    <col min="13334" max="13334" width="17.28515625" style="12" hidden="1"/>
    <col min="13335" max="13335" width="16.28515625" style="12" hidden="1"/>
    <col min="13336" max="13336" width="22.5703125" style="12" hidden="1"/>
    <col min="13337" max="13337" width="21.140625" style="12" hidden="1"/>
    <col min="13338" max="13338" width="23.42578125" style="12" hidden="1"/>
    <col min="13339" max="13560" width="10.85546875" style="12" hidden="1"/>
    <col min="13561" max="13561" width="19.7109375" style="12" hidden="1"/>
    <col min="13562" max="13562" width="19.42578125" style="12" hidden="1"/>
    <col min="13563" max="13563" width="10.42578125" style="12" hidden="1"/>
    <col min="13564" max="13564" width="16.42578125" style="12" hidden="1"/>
    <col min="13565" max="13565" width="27.28515625" style="12" hidden="1"/>
    <col min="13566" max="13566" width="10.140625" style="12" hidden="1"/>
    <col min="13567" max="13567" width="18.140625" style="12" hidden="1"/>
    <col min="13568" max="13568" width="21" style="12" hidden="1"/>
    <col min="13569" max="13569" width="23.7109375" style="12" hidden="1"/>
    <col min="13570" max="13570" width="10.7109375" style="12" hidden="1"/>
    <col min="13571" max="13571" width="25.42578125" style="12" hidden="1"/>
    <col min="13572" max="13572" width="12.42578125" style="12" hidden="1"/>
    <col min="13573" max="13573" width="13.42578125" style="12" hidden="1"/>
    <col min="13574" max="13574" width="10.28515625" style="12" hidden="1"/>
    <col min="13575" max="13583" width="15.42578125" style="12" hidden="1"/>
    <col min="13584" max="13584" width="15.85546875" style="12" hidden="1"/>
    <col min="13585" max="13585" width="13.42578125" style="12" hidden="1"/>
    <col min="13586" max="13586" width="12.85546875" style="12" hidden="1"/>
    <col min="13587" max="13587" width="13.42578125" style="12" hidden="1"/>
    <col min="13588" max="13588" width="16" style="12" hidden="1"/>
    <col min="13589" max="13589" width="12.28515625" style="12" hidden="1"/>
    <col min="13590" max="13590" width="17.28515625" style="12" hidden="1"/>
    <col min="13591" max="13591" width="16.28515625" style="12" hidden="1"/>
    <col min="13592" max="13592" width="22.5703125" style="12" hidden="1"/>
    <col min="13593" max="13593" width="21.140625" style="12" hidden="1"/>
    <col min="13594" max="13594" width="23.42578125" style="12" hidden="1"/>
    <col min="13595" max="13816" width="10.85546875" style="12" hidden="1"/>
    <col min="13817" max="13817" width="19.7109375" style="12" hidden="1"/>
    <col min="13818" max="13818" width="19.42578125" style="12" hidden="1"/>
    <col min="13819" max="13819" width="10.42578125" style="12" hidden="1"/>
    <col min="13820" max="13820" width="16.42578125" style="12" hidden="1"/>
    <col min="13821" max="13821" width="27.28515625" style="12" hidden="1"/>
    <col min="13822" max="13822" width="10.140625" style="12" hidden="1"/>
    <col min="13823" max="13823" width="18.140625" style="12" hidden="1"/>
    <col min="13824" max="13824" width="21" style="12" hidden="1"/>
    <col min="13825" max="13825" width="23.7109375" style="12" hidden="1"/>
    <col min="13826" max="13826" width="10.7109375" style="12" hidden="1"/>
    <col min="13827" max="13827" width="25.42578125" style="12" hidden="1"/>
    <col min="13828" max="13828" width="12.42578125" style="12" hidden="1"/>
    <col min="13829" max="13829" width="13.42578125" style="12" hidden="1"/>
    <col min="13830" max="13830" width="10.28515625" style="12" hidden="1"/>
    <col min="13831" max="13839" width="15.42578125" style="12" hidden="1"/>
    <col min="13840" max="13840" width="15.85546875" style="12" hidden="1"/>
    <col min="13841" max="13841" width="13.42578125" style="12" hidden="1"/>
    <col min="13842" max="13842" width="12.85546875" style="12" hidden="1"/>
    <col min="13843" max="13843" width="13.42578125" style="12" hidden="1"/>
    <col min="13844" max="13844" width="16" style="12" hidden="1"/>
    <col min="13845" max="13845" width="12.28515625" style="12" hidden="1"/>
    <col min="13846" max="13846" width="17.28515625" style="12" hidden="1"/>
    <col min="13847" max="13847" width="16.28515625" style="12" hidden="1"/>
    <col min="13848" max="13848" width="22.5703125" style="12" hidden="1"/>
    <col min="13849" max="13849" width="21.140625" style="12" hidden="1"/>
    <col min="13850" max="13850" width="23.42578125" style="12" hidden="1"/>
    <col min="13851" max="14072" width="10.85546875" style="12" hidden="1"/>
    <col min="14073" max="14073" width="19.7109375" style="12" hidden="1"/>
    <col min="14074" max="14074" width="19.42578125" style="12" hidden="1"/>
    <col min="14075" max="14075" width="10.42578125" style="12" hidden="1"/>
    <col min="14076" max="14076" width="16.42578125" style="12" hidden="1"/>
    <col min="14077" max="14077" width="27.28515625" style="12" hidden="1"/>
    <col min="14078" max="14078" width="10.140625" style="12" hidden="1"/>
    <col min="14079" max="14079" width="18.140625" style="12" hidden="1"/>
    <col min="14080" max="14080" width="21" style="12" hidden="1"/>
    <col min="14081" max="14081" width="23.7109375" style="12" hidden="1"/>
    <col min="14082" max="14082" width="10.7109375" style="12" hidden="1"/>
    <col min="14083" max="14083" width="25.42578125" style="12" hidden="1"/>
    <col min="14084" max="14084" width="12.42578125" style="12" hidden="1"/>
    <col min="14085" max="14085" width="13.42578125" style="12" hidden="1"/>
    <col min="14086" max="14086" width="10.28515625" style="12" hidden="1"/>
    <col min="14087" max="14095" width="15.42578125" style="12" hidden="1"/>
    <col min="14096" max="14096" width="15.85546875" style="12" hidden="1"/>
    <col min="14097" max="14097" width="13.42578125" style="12" hidden="1"/>
    <col min="14098" max="14098" width="12.85546875" style="12" hidden="1"/>
    <col min="14099" max="14099" width="13.42578125" style="12" hidden="1"/>
    <col min="14100" max="14100" width="16" style="12" hidden="1"/>
    <col min="14101" max="14101" width="12.28515625" style="12" hidden="1"/>
    <col min="14102" max="14102" width="17.28515625" style="12" hidden="1"/>
    <col min="14103" max="14103" width="16.28515625" style="12" hidden="1"/>
    <col min="14104" max="14104" width="22.5703125" style="12" hidden="1"/>
    <col min="14105" max="14105" width="21.140625" style="12" hidden="1"/>
    <col min="14106" max="14106" width="23.42578125" style="12" hidden="1"/>
    <col min="14107" max="14328" width="10.85546875" style="12" hidden="1"/>
    <col min="14329" max="14329" width="19.7109375" style="12" hidden="1"/>
    <col min="14330" max="14330" width="19.42578125" style="12" hidden="1"/>
    <col min="14331" max="14331" width="10.42578125" style="12" hidden="1"/>
    <col min="14332" max="14332" width="16.42578125" style="12" hidden="1"/>
    <col min="14333" max="14333" width="27.28515625" style="12" hidden="1"/>
    <col min="14334" max="14334" width="10.140625" style="12" hidden="1"/>
    <col min="14335" max="14335" width="18.140625" style="12" hidden="1"/>
    <col min="14336" max="14336" width="21" style="12" hidden="1"/>
    <col min="14337" max="14337" width="23.7109375" style="12" hidden="1"/>
    <col min="14338" max="14338" width="10.7109375" style="12" hidden="1"/>
    <col min="14339" max="14339" width="25.42578125" style="12" hidden="1"/>
    <col min="14340" max="14340" width="12.42578125" style="12" hidden="1"/>
    <col min="14341" max="14341" width="13.42578125" style="12" hidden="1"/>
    <col min="14342" max="14342" width="10.28515625" style="12" hidden="1"/>
    <col min="14343" max="14351" width="15.42578125" style="12" hidden="1"/>
    <col min="14352" max="14352" width="15.85546875" style="12" hidden="1"/>
    <col min="14353" max="14353" width="13.42578125" style="12" hidden="1"/>
    <col min="14354" max="14354" width="12.85546875" style="12" hidden="1"/>
    <col min="14355" max="14355" width="13.42578125" style="12" hidden="1"/>
    <col min="14356" max="14356" width="16" style="12" hidden="1"/>
    <col min="14357" max="14357" width="12.28515625" style="12" hidden="1"/>
    <col min="14358" max="14358" width="17.28515625" style="12" hidden="1"/>
    <col min="14359" max="14359" width="16.28515625" style="12" hidden="1"/>
    <col min="14360" max="14360" width="22.5703125" style="12" hidden="1"/>
    <col min="14361" max="14361" width="21.140625" style="12" hidden="1"/>
    <col min="14362" max="14362" width="23.42578125" style="12" hidden="1"/>
    <col min="14363" max="14584" width="10.85546875" style="12" hidden="1"/>
    <col min="14585" max="14585" width="19.7109375" style="12" hidden="1"/>
    <col min="14586" max="14586" width="19.42578125" style="12" hidden="1"/>
    <col min="14587" max="14587" width="10.42578125" style="12" hidden="1"/>
    <col min="14588" max="14588" width="16.42578125" style="12" hidden="1"/>
    <col min="14589" max="14589" width="27.28515625" style="12" hidden="1"/>
    <col min="14590" max="14590" width="10.140625" style="12" hidden="1"/>
    <col min="14591" max="14591" width="18.140625" style="12" hidden="1"/>
    <col min="14592" max="14592" width="21" style="12" hidden="1"/>
    <col min="14593" max="14593" width="23.7109375" style="12" hidden="1"/>
    <col min="14594" max="14594" width="10.7109375" style="12" hidden="1"/>
    <col min="14595" max="14595" width="25.42578125" style="12" hidden="1"/>
    <col min="14596" max="14596" width="12.42578125" style="12" hidden="1"/>
    <col min="14597" max="14597" width="13.42578125" style="12" hidden="1"/>
    <col min="14598" max="14598" width="10.28515625" style="12" hidden="1"/>
    <col min="14599" max="14607" width="15.42578125" style="12" hidden="1"/>
    <col min="14608" max="14608" width="15.85546875" style="12" hidden="1"/>
    <col min="14609" max="14609" width="13.42578125" style="12" hidden="1"/>
    <col min="14610" max="14610" width="12.85546875" style="12" hidden="1"/>
    <col min="14611" max="14611" width="13.42578125" style="12" hidden="1"/>
    <col min="14612" max="14612" width="16" style="12" hidden="1"/>
    <col min="14613" max="14613" width="12.28515625" style="12" hidden="1"/>
    <col min="14614" max="14614" width="17.28515625" style="12" hidden="1"/>
    <col min="14615" max="14615" width="16.28515625" style="12" hidden="1"/>
    <col min="14616" max="14616" width="22.5703125" style="12" hidden="1"/>
    <col min="14617" max="14617" width="21.140625" style="12" hidden="1"/>
    <col min="14618" max="14618" width="23.42578125" style="12" hidden="1"/>
    <col min="14619" max="14840" width="10.85546875" style="12" hidden="1"/>
    <col min="14841" max="14841" width="19.7109375" style="12" hidden="1"/>
    <col min="14842" max="14842" width="19.42578125" style="12" hidden="1"/>
    <col min="14843" max="14843" width="10.42578125" style="12" hidden="1"/>
    <col min="14844" max="14844" width="16.42578125" style="12" hidden="1"/>
    <col min="14845" max="14845" width="27.28515625" style="12" hidden="1"/>
    <col min="14846" max="14846" width="10.140625" style="12" hidden="1"/>
    <col min="14847" max="14847" width="18.140625" style="12" hidden="1"/>
    <col min="14848" max="14848" width="21" style="12" hidden="1"/>
    <col min="14849" max="14849" width="23.7109375" style="12" hidden="1"/>
    <col min="14850" max="14850" width="10.7109375" style="12" hidden="1"/>
    <col min="14851" max="14851" width="25.42578125" style="12" hidden="1"/>
    <col min="14852" max="14852" width="12.42578125" style="12" hidden="1"/>
    <col min="14853" max="14853" width="13.42578125" style="12" hidden="1"/>
    <col min="14854" max="14854" width="10.28515625" style="12" hidden="1"/>
    <col min="14855" max="14863" width="15.42578125" style="12" hidden="1"/>
    <col min="14864" max="14864" width="15.85546875" style="12" hidden="1"/>
    <col min="14865" max="14865" width="13.42578125" style="12" hidden="1"/>
    <col min="14866" max="14866" width="12.85546875" style="12" hidden="1"/>
    <col min="14867" max="14867" width="13.42578125" style="12" hidden="1"/>
    <col min="14868" max="14868" width="16" style="12" hidden="1"/>
    <col min="14869" max="14869" width="12.28515625" style="12" hidden="1"/>
    <col min="14870" max="14870" width="17.28515625" style="12" hidden="1"/>
    <col min="14871" max="14871" width="16.28515625" style="12" hidden="1"/>
    <col min="14872" max="14872" width="22.5703125" style="12" hidden="1"/>
    <col min="14873" max="14873" width="21.140625" style="12" hidden="1"/>
    <col min="14874" max="14874" width="23.42578125" style="12" hidden="1"/>
    <col min="14875" max="15096" width="10.85546875" style="12" hidden="1"/>
    <col min="15097" max="15097" width="19.7109375" style="12" hidden="1"/>
    <col min="15098" max="15098" width="19.42578125" style="12" hidden="1"/>
    <col min="15099" max="15099" width="10.42578125" style="12" hidden="1"/>
    <col min="15100" max="15100" width="16.42578125" style="12" hidden="1"/>
    <col min="15101" max="15101" width="27.28515625" style="12" hidden="1"/>
    <col min="15102" max="15102" width="10.140625" style="12" hidden="1"/>
    <col min="15103" max="15103" width="18.140625" style="12" hidden="1"/>
    <col min="15104" max="15104" width="21" style="12" hidden="1"/>
    <col min="15105" max="15105" width="23.7109375" style="12" hidden="1"/>
    <col min="15106" max="15106" width="10.7109375" style="12" hidden="1"/>
    <col min="15107" max="15107" width="25.42578125" style="12" hidden="1"/>
    <col min="15108" max="15108" width="12.42578125" style="12" hidden="1"/>
    <col min="15109" max="15109" width="13.42578125" style="12" hidden="1"/>
    <col min="15110" max="15110" width="10.28515625" style="12" hidden="1"/>
    <col min="15111" max="15119" width="15.42578125" style="12" hidden="1"/>
    <col min="15120" max="15120" width="15.85546875" style="12" hidden="1"/>
    <col min="15121" max="15121" width="13.42578125" style="12" hidden="1"/>
    <col min="15122" max="15122" width="12.85546875" style="12" hidden="1"/>
    <col min="15123" max="15123" width="13.42578125" style="12" hidden="1"/>
    <col min="15124" max="15124" width="16" style="12" hidden="1"/>
    <col min="15125" max="15125" width="12.28515625" style="12" hidden="1"/>
    <col min="15126" max="15126" width="17.28515625" style="12" hidden="1"/>
    <col min="15127" max="15127" width="16.28515625" style="12" hidden="1"/>
    <col min="15128" max="15128" width="22.5703125" style="12" hidden="1"/>
    <col min="15129" max="15129" width="21.140625" style="12" hidden="1"/>
    <col min="15130" max="15130" width="23.42578125" style="12" hidden="1"/>
    <col min="15131" max="15352" width="10.85546875" style="12" hidden="1"/>
    <col min="15353" max="15353" width="19.7109375" style="12" hidden="1"/>
    <col min="15354" max="15354" width="19.42578125" style="12" hidden="1"/>
    <col min="15355" max="15355" width="10.42578125" style="12" hidden="1"/>
    <col min="15356" max="15356" width="16.42578125" style="12" hidden="1"/>
    <col min="15357" max="15357" width="27.28515625" style="12" hidden="1"/>
    <col min="15358" max="15358" width="10.140625" style="12" hidden="1"/>
    <col min="15359" max="15359" width="18.140625" style="12" hidden="1"/>
    <col min="15360" max="15360" width="21" style="12" hidden="1"/>
    <col min="15361" max="15361" width="23.7109375" style="12" hidden="1"/>
    <col min="15362" max="15362" width="10.7109375" style="12" hidden="1"/>
    <col min="15363" max="15363" width="25.42578125" style="12" hidden="1"/>
    <col min="15364" max="15364" width="12.42578125" style="12" hidden="1"/>
    <col min="15365" max="15365" width="13.42578125" style="12" hidden="1"/>
    <col min="15366" max="15366" width="10.28515625" style="12" hidden="1"/>
    <col min="15367" max="15375" width="15.42578125" style="12" hidden="1"/>
    <col min="15376" max="15376" width="15.85546875" style="12" hidden="1"/>
    <col min="15377" max="15377" width="13.42578125" style="12" hidden="1"/>
    <col min="15378" max="15378" width="12.85546875" style="12" hidden="1"/>
    <col min="15379" max="15379" width="13.42578125" style="12" hidden="1"/>
    <col min="15380" max="15380" width="16" style="12" hidden="1"/>
    <col min="15381" max="15381" width="12.28515625" style="12" hidden="1"/>
    <col min="15382" max="15382" width="17.28515625" style="12" hidden="1"/>
    <col min="15383" max="15383" width="16.28515625" style="12" hidden="1"/>
    <col min="15384" max="15384" width="22.5703125" style="12" hidden="1"/>
    <col min="15385" max="15385" width="21.140625" style="12" hidden="1"/>
    <col min="15386" max="15386" width="23.42578125" style="12" hidden="1"/>
    <col min="15387" max="15608" width="10.85546875" style="12" hidden="1"/>
    <col min="15609" max="15609" width="19.7109375" style="12" hidden="1"/>
    <col min="15610" max="15610" width="19.42578125" style="12" hidden="1"/>
    <col min="15611" max="15611" width="10.42578125" style="12" hidden="1"/>
    <col min="15612" max="15612" width="16.42578125" style="12" hidden="1"/>
    <col min="15613" max="15613" width="27.28515625" style="12" hidden="1"/>
    <col min="15614" max="15614" width="10.140625" style="12" hidden="1"/>
    <col min="15615" max="15615" width="18.140625" style="12" hidden="1"/>
    <col min="15616" max="15616" width="21" style="12" hidden="1"/>
    <col min="15617" max="15617" width="23.7109375" style="12" hidden="1"/>
    <col min="15618" max="15618" width="10.7109375" style="12" hidden="1"/>
    <col min="15619" max="15619" width="25.42578125" style="12" hidden="1"/>
    <col min="15620" max="15620" width="12.42578125" style="12" hidden="1"/>
    <col min="15621" max="15621" width="13.42578125" style="12" hidden="1"/>
    <col min="15622" max="15622" width="10.28515625" style="12" hidden="1"/>
    <col min="15623" max="15631" width="15.42578125" style="12" hidden="1"/>
    <col min="15632" max="15632" width="15.85546875" style="12" hidden="1"/>
    <col min="15633" max="15633" width="13.42578125" style="12" hidden="1"/>
    <col min="15634" max="15634" width="12.85546875" style="12" hidden="1"/>
    <col min="15635" max="15635" width="13.42578125" style="12" hidden="1"/>
    <col min="15636" max="15636" width="16" style="12" hidden="1"/>
    <col min="15637" max="15637" width="12.28515625" style="12" hidden="1"/>
    <col min="15638" max="15638" width="17.28515625" style="12" hidden="1"/>
    <col min="15639" max="15639" width="16.28515625" style="12" hidden="1"/>
    <col min="15640" max="15640" width="22.5703125" style="12" hidden="1"/>
    <col min="15641" max="15641" width="21.140625" style="12" hidden="1"/>
    <col min="15642" max="15642" width="23.42578125" style="12" hidden="1"/>
    <col min="15643" max="15864" width="10.85546875" style="12" hidden="1"/>
    <col min="15865" max="15865" width="19.7109375" style="12" hidden="1"/>
    <col min="15866" max="15866" width="19.42578125" style="12" hidden="1"/>
    <col min="15867" max="15867" width="10.42578125" style="12" hidden="1"/>
    <col min="15868" max="15868" width="16.42578125" style="12" hidden="1"/>
    <col min="15869" max="15869" width="27.28515625" style="12" hidden="1"/>
    <col min="15870" max="15870" width="10.140625" style="12" hidden="1"/>
    <col min="15871" max="15871" width="18.140625" style="12" hidden="1"/>
    <col min="15872" max="15872" width="21" style="12" hidden="1"/>
    <col min="15873" max="15873" width="23.7109375" style="12" hidden="1"/>
    <col min="15874" max="15874" width="10.7109375" style="12" hidden="1"/>
    <col min="15875" max="15875" width="25.42578125" style="12" hidden="1"/>
    <col min="15876" max="15876" width="12.42578125" style="12" hidden="1"/>
    <col min="15877" max="15877" width="13.42578125" style="12" hidden="1"/>
    <col min="15878" max="15878" width="10.28515625" style="12" hidden="1"/>
    <col min="15879" max="15887" width="15.42578125" style="12" hidden="1"/>
    <col min="15888" max="15888" width="15.85546875" style="12" hidden="1"/>
    <col min="15889" max="15889" width="13.42578125" style="12" hidden="1"/>
    <col min="15890" max="15890" width="12.85546875" style="12" hidden="1"/>
    <col min="15891" max="15891" width="13.42578125" style="12" hidden="1"/>
    <col min="15892" max="15892" width="16" style="12" hidden="1"/>
    <col min="15893" max="15893" width="12.28515625" style="12" hidden="1"/>
    <col min="15894" max="15894" width="17.28515625" style="12" hidden="1"/>
    <col min="15895" max="15895" width="16.28515625" style="12" hidden="1"/>
    <col min="15896" max="15896" width="22.5703125" style="12" hidden="1"/>
    <col min="15897" max="15897" width="21.140625" style="12" hidden="1"/>
    <col min="15898" max="15898" width="23.42578125" style="12" hidden="1"/>
    <col min="15899" max="16120" width="10.85546875" style="12" hidden="1"/>
    <col min="16121" max="16121" width="19.7109375" style="12" hidden="1"/>
    <col min="16122" max="16122" width="19.42578125" style="12" hidden="1"/>
    <col min="16123" max="16123" width="10.42578125" style="12" hidden="1"/>
    <col min="16124" max="16124" width="16.42578125" style="12" hidden="1"/>
    <col min="16125" max="16125" width="27.28515625" style="12" hidden="1"/>
    <col min="16126" max="16126" width="10.140625" style="12" hidden="1"/>
    <col min="16127" max="16127" width="18.140625" style="12" hidden="1"/>
    <col min="16128" max="16128" width="21" style="12" hidden="1"/>
    <col min="16129" max="16129" width="23.7109375" style="12" hidden="1"/>
    <col min="16130" max="16130" width="10.7109375" style="12" hidden="1"/>
    <col min="16131" max="16131" width="25.42578125" style="12" hidden="1"/>
    <col min="16132" max="16132" width="12.42578125" style="12" hidden="1"/>
    <col min="16133" max="16133" width="13.42578125" style="12" hidden="1"/>
    <col min="16134" max="16134" width="10.28515625" style="12" hidden="1"/>
    <col min="16135" max="16143" width="15.42578125" style="12" hidden="1"/>
    <col min="16144" max="16144" width="15.85546875" style="12" hidden="1"/>
    <col min="16145" max="16145" width="13.42578125" style="12" hidden="1"/>
    <col min="16146" max="16146" width="12.85546875" style="12" hidden="1"/>
    <col min="16147" max="16147" width="13.42578125" style="12" hidden="1"/>
    <col min="16148" max="16148" width="16" style="12" hidden="1"/>
    <col min="16149" max="16149" width="12.28515625" style="12" hidden="1"/>
    <col min="16150" max="16150" width="17.28515625" style="12" hidden="1"/>
    <col min="16151" max="16151" width="16.28515625" style="12" hidden="1"/>
    <col min="16152" max="16152" width="22.5703125" style="12" hidden="1"/>
    <col min="16153" max="16153" width="21.140625" style="12" hidden="1"/>
    <col min="16154" max="16154" width="23.42578125" style="12" hidden="1"/>
    <col min="16155" max="16155" width="21.140625" style="12" hidden="1"/>
    <col min="16156" max="16156" width="23.42578125" style="12" hidden="1"/>
    <col min="16157" max="16157" width="21.140625" style="12" hidden="1"/>
    <col min="16158" max="16158" width="23.42578125" style="12" hidden="1"/>
    <col min="16159" max="16159" width="21.140625" style="12" hidden="1"/>
    <col min="16160" max="16160" width="23.42578125" style="12" hidden="1"/>
    <col min="16161" max="16161" width="21.140625" style="12" hidden="1"/>
    <col min="16162" max="16162" width="23.42578125" style="12" hidden="1"/>
    <col min="16163" max="16384" width="10.85546875" style="12" hidden="1"/>
  </cols>
  <sheetData>
    <row r="1" spans="1:25" ht="13.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ht="15.75" customHeight="1" x14ac:dyDescent="0.2">
      <c r="A4" s="360" t="s">
        <v>80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ht="15" customHeight="1" x14ac:dyDescent="0.2">
      <c r="A5" s="360" t="s">
        <v>117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 t="e">
        <f>SUM(#REF!)</f>
        <v>#REF!</v>
      </c>
      <c r="W5" s="360"/>
      <c r="X5" s="360"/>
      <c r="Y5" s="360"/>
    </row>
    <row r="6" spans="1:25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 t="e">
        <f>SUM(#REF!)</f>
        <v>#REF!</v>
      </c>
      <c r="W6" s="360"/>
      <c r="X6" s="360"/>
      <c r="Y6" s="360"/>
    </row>
    <row r="7" spans="1:25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7"/>
    </row>
    <row r="8" spans="1:25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109"/>
      <c r="T8" s="109"/>
      <c r="U8" s="109"/>
      <c r="V8" s="344" t="s">
        <v>4</v>
      </c>
      <c r="W8" s="344"/>
      <c r="X8" s="344"/>
      <c r="Y8" s="344"/>
    </row>
    <row r="9" spans="1:25" ht="12.7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437" t="s">
        <v>45</v>
      </c>
      <c r="I9" s="437"/>
      <c r="J9" s="437"/>
      <c r="K9" s="437"/>
      <c r="L9" s="437"/>
      <c r="M9" s="437"/>
      <c r="N9" s="343" t="s">
        <v>5</v>
      </c>
      <c r="O9" s="343" t="s">
        <v>371</v>
      </c>
      <c r="P9" s="343" t="s">
        <v>384</v>
      </c>
      <c r="Q9" s="343" t="s">
        <v>385</v>
      </c>
      <c r="R9" s="343" t="s">
        <v>386</v>
      </c>
      <c r="S9" s="343" t="s">
        <v>412</v>
      </c>
      <c r="T9" s="343" t="s">
        <v>9</v>
      </c>
      <c r="U9" s="343" t="s">
        <v>10</v>
      </c>
      <c r="V9" s="327" t="s">
        <v>106</v>
      </c>
      <c r="W9" s="327" t="s">
        <v>107</v>
      </c>
      <c r="X9" s="327" t="s">
        <v>109</v>
      </c>
      <c r="Y9" s="327" t="s">
        <v>110</v>
      </c>
    </row>
    <row r="10" spans="1:25" ht="51" customHeight="1" x14ac:dyDescent="0.2">
      <c r="A10" s="341"/>
      <c r="B10" s="341"/>
      <c r="C10" s="343"/>
      <c r="D10" s="341"/>
      <c r="E10" s="341"/>
      <c r="F10" s="343"/>
      <c r="G10" s="341"/>
      <c r="H10" s="43" t="s">
        <v>47</v>
      </c>
      <c r="I10" s="114" t="s">
        <v>46</v>
      </c>
      <c r="J10" s="114" t="s">
        <v>51</v>
      </c>
      <c r="K10" s="43" t="s">
        <v>35</v>
      </c>
      <c r="L10" s="114" t="s">
        <v>52</v>
      </c>
      <c r="M10" s="215" t="s">
        <v>82</v>
      </c>
      <c r="N10" s="343"/>
      <c r="O10" s="343"/>
      <c r="P10" s="343"/>
      <c r="Q10" s="343"/>
      <c r="R10" s="343"/>
      <c r="S10" s="343"/>
      <c r="T10" s="343"/>
      <c r="U10" s="331"/>
      <c r="V10" s="328"/>
      <c r="W10" s="327"/>
      <c r="X10" s="328"/>
      <c r="Y10" s="328"/>
    </row>
    <row r="11" spans="1:25" s="42" customFormat="1" x14ac:dyDescent="0.2">
      <c r="A11" s="538" t="s">
        <v>153</v>
      </c>
      <c r="B11" s="539"/>
      <c r="C11" s="539"/>
      <c r="D11" s="539"/>
      <c r="E11" s="539"/>
      <c r="F11" s="539"/>
      <c r="G11" s="540"/>
      <c r="H11" s="330" t="s">
        <v>144</v>
      </c>
      <c r="I11" s="330" t="s">
        <v>342</v>
      </c>
      <c r="J11" s="330" t="s">
        <v>36</v>
      </c>
      <c r="K11" s="330" t="s">
        <v>145</v>
      </c>
      <c r="L11" s="330" t="s">
        <v>34</v>
      </c>
      <c r="M11" s="432">
        <v>580000</v>
      </c>
      <c r="N11" s="333">
        <v>7.0000000000000007E-2</v>
      </c>
      <c r="O11" s="541"/>
      <c r="P11" s="541"/>
      <c r="Q11" s="541"/>
      <c r="R11" s="541"/>
      <c r="S11" s="333">
        <f>SUM(O11)/M11</f>
        <v>0</v>
      </c>
      <c r="T11" s="372">
        <f>IF(S11&lt;=100%,S11*N11,N11)</f>
        <v>0</v>
      </c>
      <c r="U11" s="342">
        <f>((SUM(T11:T15))/C40)*100</f>
        <v>0</v>
      </c>
      <c r="V11" s="535"/>
      <c r="W11" s="535"/>
      <c r="X11" s="535"/>
      <c r="Y11" s="535"/>
    </row>
    <row r="12" spans="1:25" ht="37.5" customHeight="1" x14ac:dyDescent="0.2">
      <c r="A12" s="330" t="str">
        <f>'Plan de desarrollo'!B4</f>
        <v>DIMENSIÓN 1: Creemos en la cultura ciudadana</v>
      </c>
      <c r="B12" s="330" t="str">
        <f>'Objetivos Estratégicos'!B3</f>
        <v xml:space="preserve">Elevar el nivel de competitividad y posicionamiento del Canal como plataforma de contenidos formativos, Informativos y culturales. </v>
      </c>
      <c r="C12" s="398">
        <f>+SUM(F12:F15)</f>
        <v>0.2</v>
      </c>
      <c r="D12" s="330" t="s">
        <v>143</v>
      </c>
      <c r="E12" s="330"/>
      <c r="F12" s="372">
        <f>+SUM(N11:N15)</f>
        <v>0.2</v>
      </c>
      <c r="G12" s="330" t="s">
        <v>239</v>
      </c>
      <c r="H12" s="330"/>
      <c r="I12" s="330"/>
      <c r="J12" s="330"/>
      <c r="K12" s="330"/>
      <c r="L12" s="330"/>
      <c r="M12" s="432"/>
      <c r="N12" s="333"/>
      <c r="O12" s="542"/>
      <c r="P12" s="542"/>
      <c r="Q12" s="542"/>
      <c r="R12" s="542"/>
      <c r="S12" s="333"/>
      <c r="T12" s="374"/>
      <c r="U12" s="342"/>
      <c r="V12" s="536"/>
      <c r="W12" s="536"/>
      <c r="X12" s="536"/>
      <c r="Y12" s="536"/>
    </row>
    <row r="13" spans="1:25" ht="57" customHeight="1" x14ac:dyDescent="0.2">
      <c r="A13" s="330"/>
      <c r="B13" s="330"/>
      <c r="C13" s="537"/>
      <c r="D13" s="330"/>
      <c r="E13" s="330"/>
      <c r="F13" s="373"/>
      <c r="G13" s="330"/>
      <c r="H13" s="105" t="s">
        <v>146</v>
      </c>
      <c r="I13" s="165" t="s">
        <v>343</v>
      </c>
      <c r="J13" s="105" t="s">
        <v>36</v>
      </c>
      <c r="K13" s="105" t="s">
        <v>147</v>
      </c>
      <c r="L13" s="194" t="s">
        <v>34</v>
      </c>
      <c r="M13" s="294">
        <v>118000</v>
      </c>
      <c r="N13" s="107">
        <v>7.0000000000000007E-2</v>
      </c>
      <c r="O13" s="310"/>
      <c r="P13" s="300"/>
      <c r="Q13" s="300"/>
      <c r="R13" s="300"/>
      <c r="S13" s="107">
        <f>+O13/M13</f>
        <v>0</v>
      </c>
      <c r="T13" s="107">
        <f>IF(S13&lt;=100%,S13*N13,N13)</f>
        <v>0</v>
      </c>
      <c r="U13" s="342"/>
      <c r="V13" s="156"/>
      <c r="W13" s="156"/>
      <c r="X13" s="156"/>
      <c r="Y13" s="156"/>
    </row>
    <row r="14" spans="1:25" ht="57" customHeight="1" x14ac:dyDescent="0.2">
      <c r="A14" s="330"/>
      <c r="B14" s="330"/>
      <c r="C14" s="537"/>
      <c r="D14" s="330"/>
      <c r="E14" s="330"/>
      <c r="F14" s="373"/>
      <c r="G14" s="330"/>
      <c r="H14" s="105" t="s">
        <v>148</v>
      </c>
      <c r="I14" s="165" t="s">
        <v>152</v>
      </c>
      <c r="J14" s="105" t="s">
        <v>36</v>
      </c>
      <c r="K14" s="105" t="s">
        <v>149</v>
      </c>
      <c r="L14" s="194" t="s">
        <v>34</v>
      </c>
      <c r="M14" s="295">
        <v>10</v>
      </c>
      <c r="N14" s="107">
        <v>0.03</v>
      </c>
      <c r="O14" s="310"/>
      <c r="P14" s="300"/>
      <c r="Q14" s="300"/>
      <c r="R14" s="300"/>
      <c r="S14" s="107">
        <f>IF(O14&lt;&gt;"",IF(O14&lt;=10,100%,80%),0%)</f>
        <v>0</v>
      </c>
      <c r="T14" s="181">
        <f>IF(S14&lt;=100%,S14*N14,N14)</f>
        <v>0</v>
      </c>
      <c r="U14" s="342"/>
      <c r="V14" s="156"/>
      <c r="W14" s="156"/>
      <c r="X14" s="156"/>
      <c r="Y14" s="156"/>
    </row>
    <row r="15" spans="1:25" ht="57" customHeight="1" x14ac:dyDescent="0.2">
      <c r="A15" s="330"/>
      <c r="B15" s="330"/>
      <c r="C15" s="537"/>
      <c r="D15" s="330"/>
      <c r="E15" s="330"/>
      <c r="F15" s="374"/>
      <c r="G15" s="330"/>
      <c r="H15" s="105" t="s">
        <v>150</v>
      </c>
      <c r="I15" s="165" t="s">
        <v>344</v>
      </c>
      <c r="J15" s="105" t="s">
        <v>36</v>
      </c>
      <c r="K15" s="105" t="s">
        <v>151</v>
      </c>
      <c r="L15" s="194" t="s">
        <v>34</v>
      </c>
      <c r="M15" s="295">
        <v>10</v>
      </c>
      <c r="N15" s="107">
        <v>0.03</v>
      </c>
      <c r="O15" s="310"/>
      <c r="P15" s="300"/>
      <c r="Q15" s="300"/>
      <c r="R15" s="300"/>
      <c r="S15" s="153">
        <f>IF(O15&lt;&gt;"",IF(O15&lt;=15,100%,0%),0%)</f>
        <v>0</v>
      </c>
      <c r="T15" s="181">
        <f>IF(S15&lt;=100%,S15*N15,N15)</f>
        <v>0</v>
      </c>
      <c r="U15" s="342"/>
      <c r="V15" s="156"/>
      <c r="W15" s="156"/>
      <c r="X15" s="156"/>
      <c r="Y15" s="156"/>
    </row>
    <row r="16" spans="1:25" ht="15" customHeight="1" x14ac:dyDescent="0.2">
      <c r="A16" s="545" t="s">
        <v>363</v>
      </c>
      <c r="B16" s="545"/>
      <c r="C16" s="545"/>
      <c r="D16" s="545"/>
      <c r="E16" s="545"/>
      <c r="F16" s="545"/>
      <c r="G16" s="545"/>
      <c r="H16" s="330" t="s">
        <v>194</v>
      </c>
      <c r="I16" s="330" t="s">
        <v>195</v>
      </c>
      <c r="J16" s="330" t="s">
        <v>36</v>
      </c>
      <c r="K16" s="330" t="s">
        <v>197</v>
      </c>
      <c r="L16" s="330" t="s">
        <v>34</v>
      </c>
      <c r="M16" s="369">
        <v>20</v>
      </c>
      <c r="N16" s="342">
        <v>0.02</v>
      </c>
      <c r="O16" s="378"/>
      <c r="P16" s="378"/>
      <c r="Q16" s="378"/>
      <c r="R16" s="378"/>
      <c r="S16" s="333">
        <f>IF(SUM(O16:R17)=0,0,IF((MIN(O16:R17)&lt;=M16),100%,M16/((MIN(O16:R17)))))</f>
        <v>0</v>
      </c>
      <c r="T16" s="372">
        <f>IF(S16&lt;=100%,S16*N16,N16)</f>
        <v>0</v>
      </c>
      <c r="U16" s="362">
        <f>((SUM(T16:T20))/C40)*100</f>
        <v>0</v>
      </c>
      <c r="V16" s="337"/>
      <c r="W16" s="337"/>
      <c r="X16" s="337"/>
      <c r="Y16" s="337"/>
    </row>
    <row r="17" spans="1:25" ht="54.75" customHeight="1" x14ac:dyDescent="0.2">
      <c r="A17" s="375" t="str">
        <f>'Plan de desarrollo'!B4</f>
        <v>DIMENSIÓN 1: Creemos en la cultura ciudadana</v>
      </c>
      <c r="B17" s="376" t="str">
        <f>+'Objetivos Estratégicos'!B3</f>
        <v xml:space="preserve">Elevar el nivel de competitividad y posicionamiento del Canal como plataforma de contenidos formativos, Informativos y culturales. </v>
      </c>
      <c r="C17" s="333">
        <f>+F17</f>
        <v>7.0000000000000007E-2</v>
      </c>
      <c r="D17" s="330" t="s">
        <v>192</v>
      </c>
      <c r="E17" s="330"/>
      <c r="F17" s="333">
        <f>+SUM(N16:N20)</f>
        <v>7.0000000000000007E-2</v>
      </c>
      <c r="G17" s="330" t="s">
        <v>239</v>
      </c>
      <c r="H17" s="331"/>
      <c r="I17" s="331"/>
      <c r="J17" s="331"/>
      <c r="K17" s="331"/>
      <c r="L17" s="331"/>
      <c r="M17" s="543"/>
      <c r="N17" s="544"/>
      <c r="O17" s="525"/>
      <c r="P17" s="525"/>
      <c r="Q17" s="525"/>
      <c r="R17" s="525"/>
      <c r="S17" s="333"/>
      <c r="T17" s="374"/>
      <c r="U17" s="513"/>
      <c r="V17" s="461"/>
      <c r="W17" s="461"/>
      <c r="X17" s="461"/>
      <c r="Y17" s="461"/>
    </row>
    <row r="18" spans="1:25" ht="69.75" customHeight="1" x14ac:dyDescent="0.2">
      <c r="A18" s="375"/>
      <c r="B18" s="376"/>
      <c r="C18" s="333"/>
      <c r="D18" s="330"/>
      <c r="E18" s="330"/>
      <c r="F18" s="333"/>
      <c r="G18" s="330"/>
      <c r="H18" s="191" t="s">
        <v>193</v>
      </c>
      <c r="I18" s="191" t="s">
        <v>196</v>
      </c>
      <c r="J18" s="194" t="s">
        <v>36</v>
      </c>
      <c r="K18" s="191" t="s">
        <v>198</v>
      </c>
      <c r="L18" s="194" t="s">
        <v>34</v>
      </c>
      <c r="M18" s="296">
        <v>100</v>
      </c>
      <c r="N18" s="218">
        <v>0.02</v>
      </c>
      <c r="O18" s="320"/>
      <c r="P18" s="278"/>
      <c r="Q18" s="278"/>
      <c r="R18" s="278"/>
      <c r="S18" s="107">
        <f>SUM(O18:R18)/M18</f>
        <v>0</v>
      </c>
      <c r="T18" s="107">
        <f>IF(S18&lt;=100%,S18*N18,N18)</f>
        <v>0</v>
      </c>
      <c r="U18" s="513"/>
      <c r="V18" s="308"/>
      <c r="W18" s="156"/>
      <c r="X18" s="202"/>
      <c r="Y18" s="202"/>
    </row>
    <row r="19" spans="1:25" ht="84" customHeight="1" x14ac:dyDescent="0.2">
      <c r="A19" s="375"/>
      <c r="B19" s="376"/>
      <c r="C19" s="333"/>
      <c r="D19" s="330"/>
      <c r="E19" s="330"/>
      <c r="F19" s="333"/>
      <c r="G19" s="330"/>
      <c r="H19" s="191" t="s">
        <v>199</v>
      </c>
      <c r="I19" s="191" t="s">
        <v>416</v>
      </c>
      <c r="J19" s="194" t="s">
        <v>36</v>
      </c>
      <c r="K19" s="191" t="s">
        <v>415</v>
      </c>
      <c r="L19" s="194" t="s">
        <v>34</v>
      </c>
      <c r="M19" s="297">
        <v>18000</v>
      </c>
      <c r="N19" s="218">
        <v>1.4999999999999999E-2</v>
      </c>
      <c r="O19" s="311"/>
      <c r="P19" s="278"/>
      <c r="Q19" s="278"/>
      <c r="R19" s="278"/>
      <c r="S19" s="107">
        <f>SUM(O19:R19)/M19</f>
        <v>0</v>
      </c>
      <c r="T19" s="107">
        <f>IF(S19&lt;=100%,S19*N19,N19)</f>
        <v>0</v>
      </c>
      <c r="U19" s="513"/>
      <c r="V19" s="308"/>
      <c r="W19" s="234"/>
      <c r="X19" s="202"/>
      <c r="Y19" s="156"/>
    </row>
    <row r="20" spans="1:25" ht="61.5" customHeight="1" x14ac:dyDescent="0.2">
      <c r="A20" s="375"/>
      <c r="B20" s="376"/>
      <c r="C20" s="333"/>
      <c r="D20" s="330"/>
      <c r="E20" s="330"/>
      <c r="F20" s="333"/>
      <c r="G20" s="330"/>
      <c r="H20" s="221" t="s">
        <v>404</v>
      </c>
      <c r="I20" s="220" t="s">
        <v>203</v>
      </c>
      <c r="J20" s="194" t="s">
        <v>36</v>
      </c>
      <c r="K20" s="220" t="s">
        <v>405</v>
      </c>
      <c r="L20" s="194" t="s">
        <v>34</v>
      </c>
      <c r="M20" s="297">
        <v>155299450</v>
      </c>
      <c r="N20" s="218">
        <v>1.4999999999999999E-2</v>
      </c>
      <c r="O20" s="284"/>
      <c r="P20" s="284"/>
      <c r="Q20" s="285"/>
      <c r="R20" s="284"/>
      <c r="S20" s="224">
        <f>SUM(O20:R20)/M20</f>
        <v>0</v>
      </c>
      <c r="T20" s="224">
        <f>IF(S20&lt;=100%,S20*N20,N20)</f>
        <v>0</v>
      </c>
      <c r="U20" s="363"/>
      <c r="V20" s="306"/>
      <c r="W20" s="233"/>
      <c r="X20" s="219"/>
      <c r="Y20" s="257"/>
    </row>
    <row r="21" spans="1:25" ht="15" customHeight="1" x14ac:dyDescent="0.2">
      <c r="A21" s="532" t="s">
        <v>207</v>
      </c>
      <c r="B21" s="533"/>
      <c r="C21" s="533"/>
      <c r="D21" s="533"/>
      <c r="E21" s="533"/>
      <c r="F21" s="533"/>
      <c r="G21" s="534"/>
      <c r="H21" s="330" t="s">
        <v>212</v>
      </c>
      <c r="I21" s="339" t="s">
        <v>213</v>
      </c>
      <c r="J21" s="473" t="s">
        <v>36</v>
      </c>
      <c r="K21" s="339" t="s">
        <v>214</v>
      </c>
      <c r="L21" s="473" t="s">
        <v>34</v>
      </c>
      <c r="M21" s="527">
        <v>1018712</v>
      </c>
      <c r="N21" s="342">
        <v>0.01</v>
      </c>
      <c r="O21" s="530"/>
      <c r="P21" s="530"/>
      <c r="Q21" s="530"/>
      <c r="R21" s="530"/>
      <c r="S21" s="372">
        <f>+MAX(O21:R22)/M21</f>
        <v>0</v>
      </c>
      <c r="T21" s="372">
        <f>IF(S21&lt;=100%,S21*N21,N21)</f>
        <v>0</v>
      </c>
      <c r="U21" s="362">
        <f>((SUM(T21:T26))/C40)*100</f>
        <v>0</v>
      </c>
      <c r="V21" s="337"/>
      <c r="W21" s="337"/>
      <c r="X21" s="337"/>
      <c r="Y21" s="337"/>
    </row>
    <row r="22" spans="1:25" ht="40.5" customHeight="1" x14ac:dyDescent="0.2">
      <c r="A22" s="339" t="str">
        <f>'Plan de desarrollo'!B4</f>
        <v>DIMENSIÓN 1: Creemos en la cultura ciudadana</v>
      </c>
      <c r="B22" s="383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22" s="372">
        <f>+F22</f>
        <v>0.02</v>
      </c>
      <c r="D22" s="378" t="s">
        <v>211</v>
      </c>
      <c r="E22" s="379"/>
      <c r="F22" s="372">
        <f>+SUM(N21:N26)</f>
        <v>0.02</v>
      </c>
      <c r="G22" s="409" t="s">
        <v>81</v>
      </c>
      <c r="H22" s="520"/>
      <c r="I22" s="340"/>
      <c r="J22" s="474"/>
      <c r="K22" s="340"/>
      <c r="L22" s="474"/>
      <c r="M22" s="528"/>
      <c r="N22" s="529"/>
      <c r="O22" s="531"/>
      <c r="P22" s="531"/>
      <c r="Q22" s="531"/>
      <c r="R22" s="531"/>
      <c r="S22" s="374"/>
      <c r="T22" s="374"/>
      <c r="U22" s="513"/>
      <c r="V22" s="461"/>
      <c r="W22" s="461"/>
      <c r="X22" s="461"/>
      <c r="Y22" s="461"/>
    </row>
    <row r="23" spans="1:25" ht="67.5" customHeight="1" x14ac:dyDescent="0.2">
      <c r="A23" s="382"/>
      <c r="B23" s="384"/>
      <c r="C23" s="373"/>
      <c r="D23" s="523"/>
      <c r="E23" s="524"/>
      <c r="F23" s="373"/>
      <c r="G23" s="438"/>
      <c r="H23" s="191" t="s">
        <v>215</v>
      </c>
      <c r="I23" s="191" t="s">
        <v>216</v>
      </c>
      <c r="J23" s="194" t="s">
        <v>36</v>
      </c>
      <c r="K23" s="191" t="s">
        <v>217</v>
      </c>
      <c r="L23" s="194" t="s">
        <v>34</v>
      </c>
      <c r="M23" s="298">
        <v>7300000</v>
      </c>
      <c r="N23" s="213">
        <v>2.5000000000000001E-3</v>
      </c>
      <c r="O23" s="286"/>
      <c r="P23" s="286"/>
      <c r="Q23" s="287"/>
      <c r="R23" s="286"/>
      <c r="S23" s="110">
        <f>SUM(O23:R23)/M23</f>
        <v>0</v>
      </c>
      <c r="T23" s="107">
        <f>IF(S23&lt;=100%,S23*N23,N23)</f>
        <v>0</v>
      </c>
      <c r="U23" s="513"/>
      <c r="V23" s="308"/>
      <c r="W23" s="234"/>
      <c r="X23" s="202"/>
      <c r="Y23" s="258"/>
    </row>
    <row r="24" spans="1:25" ht="50.25" customHeight="1" x14ac:dyDescent="0.2">
      <c r="A24" s="382"/>
      <c r="B24" s="384"/>
      <c r="C24" s="373"/>
      <c r="D24" s="523"/>
      <c r="E24" s="524"/>
      <c r="F24" s="373"/>
      <c r="G24" s="438"/>
      <c r="H24" s="191" t="s">
        <v>218</v>
      </c>
      <c r="I24" s="191" t="s">
        <v>219</v>
      </c>
      <c r="J24" s="194" t="s">
        <v>36</v>
      </c>
      <c r="K24" s="191" t="s">
        <v>220</v>
      </c>
      <c r="L24" s="194" t="s">
        <v>34</v>
      </c>
      <c r="M24" s="298">
        <v>630000</v>
      </c>
      <c r="N24" s="213">
        <v>2.5000000000000001E-3</v>
      </c>
      <c r="O24" s="286"/>
      <c r="P24" s="286"/>
      <c r="Q24" s="287"/>
      <c r="R24" s="286"/>
      <c r="S24" s="110">
        <f>SUM(O24:R24)/M24</f>
        <v>0</v>
      </c>
      <c r="T24" s="107">
        <f>IF(S24&lt;=100%,S24*N24,N24)</f>
        <v>0</v>
      </c>
      <c r="U24" s="513"/>
      <c r="V24" s="308"/>
      <c r="W24" s="237"/>
      <c r="X24" s="246"/>
      <c r="Y24" s="258"/>
    </row>
    <row r="25" spans="1:25" ht="47.25" customHeight="1" x14ac:dyDescent="0.2">
      <c r="A25" s="382"/>
      <c r="B25" s="384"/>
      <c r="C25" s="373"/>
      <c r="D25" s="523"/>
      <c r="E25" s="524"/>
      <c r="F25" s="373"/>
      <c r="G25" s="438"/>
      <c r="H25" s="191" t="s">
        <v>221</v>
      </c>
      <c r="I25" s="191" t="s">
        <v>222</v>
      </c>
      <c r="J25" s="194" t="s">
        <v>36</v>
      </c>
      <c r="K25" s="191" t="s">
        <v>223</v>
      </c>
      <c r="L25" s="194" t="s">
        <v>34</v>
      </c>
      <c r="M25" s="298">
        <v>395000</v>
      </c>
      <c r="N25" s="213">
        <v>2.5000000000000001E-3</v>
      </c>
      <c r="O25" s="289"/>
      <c r="P25" s="286"/>
      <c r="Q25" s="287"/>
      <c r="R25" s="286"/>
      <c r="S25" s="110">
        <f>SUM(O25:R25)/M25</f>
        <v>0</v>
      </c>
      <c r="T25" s="107">
        <f>IF(S25&lt;=100%,S25*N25,N25)</f>
        <v>0</v>
      </c>
      <c r="U25" s="513"/>
      <c r="V25" s="308"/>
      <c r="W25" s="237"/>
      <c r="X25" s="246"/>
      <c r="Y25" s="258"/>
    </row>
    <row r="26" spans="1:25" ht="51" customHeight="1" x14ac:dyDescent="0.2">
      <c r="A26" s="340"/>
      <c r="B26" s="385"/>
      <c r="C26" s="374"/>
      <c r="D26" s="525"/>
      <c r="E26" s="526"/>
      <c r="F26" s="374"/>
      <c r="G26" s="410"/>
      <c r="H26" s="191" t="s">
        <v>224</v>
      </c>
      <c r="I26" s="191" t="s">
        <v>225</v>
      </c>
      <c r="J26" s="194" t="s">
        <v>36</v>
      </c>
      <c r="K26" s="191" t="s">
        <v>226</v>
      </c>
      <c r="L26" s="194" t="s">
        <v>34</v>
      </c>
      <c r="M26" s="298">
        <v>53000</v>
      </c>
      <c r="N26" s="213">
        <v>2.5000000000000001E-3</v>
      </c>
      <c r="O26" s="289"/>
      <c r="P26" s="289"/>
      <c r="Q26" s="287"/>
      <c r="R26" s="286"/>
      <c r="S26" s="110">
        <f>SUM(O26:R26)/M26</f>
        <v>0</v>
      </c>
      <c r="T26" s="107">
        <f>IF(S26&lt;=100%,S26*N26,N26)</f>
        <v>0</v>
      </c>
      <c r="U26" s="363"/>
      <c r="V26" s="308"/>
      <c r="W26" s="237"/>
      <c r="X26" s="246"/>
      <c r="Y26" s="258"/>
    </row>
    <row r="27" spans="1:25" s="1" customFormat="1" ht="14.25" customHeight="1" x14ac:dyDescent="0.2">
      <c r="A27" s="329" t="s">
        <v>232</v>
      </c>
      <c r="B27" s="329"/>
      <c r="C27" s="329"/>
      <c r="D27" s="329"/>
      <c r="E27" s="329"/>
      <c r="F27" s="329"/>
      <c r="G27" s="329"/>
      <c r="H27" s="330" t="s">
        <v>234</v>
      </c>
      <c r="I27" s="330" t="s">
        <v>240</v>
      </c>
      <c r="J27" s="330" t="s">
        <v>53</v>
      </c>
      <c r="K27" s="330" t="s">
        <v>234</v>
      </c>
      <c r="L27" s="330" t="s">
        <v>34</v>
      </c>
      <c r="M27" s="455">
        <v>120000000</v>
      </c>
      <c r="N27" s="333">
        <v>5.0000000000000001E-3</v>
      </c>
      <c r="O27" s="521"/>
      <c r="P27" s="521"/>
      <c r="Q27" s="521"/>
      <c r="R27" s="521"/>
      <c r="S27" s="372">
        <f>SUM(O27:R28)/M27</f>
        <v>0</v>
      </c>
      <c r="T27" s="459">
        <f>IF(S27&lt;=100%,S27*N27,N27)</f>
        <v>0</v>
      </c>
      <c r="U27" s="362">
        <f>((SUM(T27:T32))/C40)*100</f>
        <v>0</v>
      </c>
      <c r="V27" s="518"/>
      <c r="W27" s="518"/>
      <c r="X27" s="518"/>
      <c r="Y27" s="518"/>
    </row>
    <row r="28" spans="1:25" s="1" customFormat="1" ht="63.75" x14ac:dyDescent="0.2">
      <c r="A28" s="452" t="str">
        <f>'Plan de desarrollo'!B4</f>
        <v>DIMENSIÓN 1: Creemos en la cultura ciudadana</v>
      </c>
      <c r="B28" s="383" t="str">
        <f>'Objetivos Estratégicos'!B5</f>
        <v xml:space="preserve">Realizar alianzas estratégicas con la Alcaldía y sus entes descentralizados para temas de comunicación a través de la Agencia y Central de Medios de Telemedellín. </v>
      </c>
      <c r="C28" s="372">
        <f>+F28</f>
        <v>1.66E-2</v>
      </c>
      <c r="D28" s="330" t="s">
        <v>237</v>
      </c>
      <c r="E28" s="330"/>
      <c r="F28" s="372">
        <f>+SUM(N27:N32)</f>
        <v>1.66E-2</v>
      </c>
      <c r="G28" s="105" t="s">
        <v>239</v>
      </c>
      <c r="H28" s="520"/>
      <c r="I28" s="520"/>
      <c r="J28" s="520"/>
      <c r="K28" s="520"/>
      <c r="L28" s="520"/>
      <c r="M28" s="456"/>
      <c r="N28" s="520"/>
      <c r="O28" s="522"/>
      <c r="P28" s="522"/>
      <c r="Q28" s="522"/>
      <c r="R28" s="522"/>
      <c r="S28" s="374"/>
      <c r="T28" s="460"/>
      <c r="U28" s="513"/>
      <c r="V28" s="519"/>
      <c r="W28" s="519"/>
      <c r="X28" s="519"/>
      <c r="Y28" s="519"/>
    </row>
    <row r="29" spans="1:25" s="1" customFormat="1" ht="63.75" x14ac:dyDescent="0.2">
      <c r="A29" s="453"/>
      <c r="B29" s="384"/>
      <c r="C29" s="373"/>
      <c r="D29" s="378" t="s">
        <v>238</v>
      </c>
      <c r="E29" s="379"/>
      <c r="F29" s="373"/>
      <c r="G29" s="113" t="s">
        <v>239</v>
      </c>
      <c r="H29" s="193" t="s">
        <v>235</v>
      </c>
      <c r="I29" s="193" t="s">
        <v>241</v>
      </c>
      <c r="J29" s="193" t="s">
        <v>53</v>
      </c>
      <c r="K29" s="193" t="s">
        <v>235</v>
      </c>
      <c r="L29" s="193" t="s">
        <v>34</v>
      </c>
      <c r="M29" s="299">
        <v>160000000</v>
      </c>
      <c r="N29" s="214">
        <v>5.0000000000000001E-3</v>
      </c>
      <c r="O29" s="288"/>
      <c r="P29" s="288"/>
      <c r="Q29" s="290"/>
      <c r="R29" s="288"/>
      <c r="S29" s="110">
        <f>SUM(O29:R29)/M29</f>
        <v>0</v>
      </c>
      <c r="T29" s="110">
        <f>IF(S29&lt;=100%,S29*N29,N29)</f>
        <v>0</v>
      </c>
      <c r="U29" s="513"/>
      <c r="V29" s="309"/>
      <c r="W29" s="203"/>
      <c r="X29" s="203"/>
      <c r="Y29" s="203"/>
    </row>
    <row r="30" spans="1:25" ht="63.75" x14ac:dyDescent="0.2">
      <c r="A30" s="453"/>
      <c r="B30" s="384"/>
      <c r="C30" s="373"/>
      <c r="D30" s="367" t="s">
        <v>245</v>
      </c>
      <c r="E30" s="368"/>
      <c r="F30" s="373"/>
      <c r="G30" s="113" t="s">
        <v>239</v>
      </c>
      <c r="H30" s="193" t="s">
        <v>251</v>
      </c>
      <c r="I30" s="193" t="s">
        <v>334</v>
      </c>
      <c r="J30" s="193" t="s">
        <v>39</v>
      </c>
      <c r="K30" s="193" t="s">
        <v>307</v>
      </c>
      <c r="L30" s="281" t="s">
        <v>34</v>
      </c>
      <c r="M30" s="283">
        <v>0.8</v>
      </c>
      <c r="N30" s="217">
        <v>2.2000000000000001E-3</v>
      </c>
      <c r="O30" s="291"/>
      <c r="P30" s="291"/>
      <c r="Q30" s="291"/>
      <c r="R30" s="291"/>
      <c r="S30" s="107">
        <f>IFERROR(AVERAGE(O30:R30)/M30,0)</f>
        <v>0</v>
      </c>
      <c r="T30" s="110">
        <f>IF(S30&lt;=100%,S30*N30,N30)</f>
        <v>0</v>
      </c>
      <c r="U30" s="513"/>
      <c r="V30" s="307"/>
      <c r="W30" s="236"/>
      <c r="X30" s="245"/>
      <c r="Y30" s="156"/>
    </row>
    <row r="31" spans="1:25" ht="63.75" x14ac:dyDescent="0.2">
      <c r="A31" s="453"/>
      <c r="B31" s="384"/>
      <c r="C31" s="373"/>
      <c r="D31" s="378" t="s">
        <v>246</v>
      </c>
      <c r="E31" s="379"/>
      <c r="F31" s="373"/>
      <c r="G31" s="113" t="s">
        <v>239</v>
      </c>
      <c r="H31" s="193" t="s">
        <v>252</v>
      </c>
      <c r="I31" s="193" t="s">
        <v>335</v>
      </c>
      <c r="J31" s="193" t="s">
        <v>39</v>
      </c>
      <c r="K31" s="193" t="s">
        <v>309</v>
      </c>
      <c r="L31" s="281" t="s">
        <v>34</v>
      </c>
      <c r="M31" s="283">
        <v>0.8</v>
      </c>
      <c r="N31" s="217">
        <v>2.2000000000000001E-3</v>
      </c>
      <c r="O31" s="291"/>
      <c r="P31" s="291"/>
      <c r="Q31" s="291"/>
      <c r="R31" s="291"/>
      <c r="S31" s="161">
        <f>IFERROR(AVERAGE(O31:R31)/M31,0)</f>
        <v>0</v>
      </c>
      <c r="T31" s="110">
        <f>IF(S31&lt;=100%,S31*N31,N31)</f>
        <v>0</v>
      </c>
      <c r="U31" s="513"/>
      <c r="V31" s="307"/>
      <c r="W31" s="236"/>
      <c r="X31" s="245"/>
      <c r="Y31" s="156"/>
    </row>
    <row r="32" spans="1:25" ht="63.75" x14ac:dyDescent="0.2">
      <c r="A32" s="454"/>
      <c r="B32" s="385"/>
      <c r="C32" s="374"/>
      <c r="D32" s="378" t="s">
        <v>257</v>
      </c>
      <c r="E32" s="379"/>
      <c r="F32" s="374"/>
      <c r="G32" s="113" t="s">
        <v>239</v>
      </c>
      <c r="H32" s="193" t="s">
        <v>258</v>
      </c>
      <c r="I32" s="193" t="s">
        <v>336</v>
      </c>
      <c r="J32" s="193" t="s">
        <v>39</v>
      </c>
      <c r="K32" s="193" t="s">
        <v>308</v>
      </c>
      <c r="L32" s="281" t="s">
        <v>34</v>
      </c>
      <c r="M32" s="283">
        <v>0.8</v>
      </c>
      <c r="N32" s="217">
        <v>2.2000000000000001E-3</v>
      </c>
      <c r="O32" s="291"/>
      <c r="P32" s="291"/>
      <c r="Q32" s="291"/>
      <c r="R32" s="291"/>
      <c r="S32" s="161">
        <f>IFERROR(AVERAGE(O32:R32)/M32,0)</f>
        <v>0</v>
      </c>
      <c r="T32" s="110">
        <f>IF(S32&lt;=100%,S32*N32,N32)</f>
        <v>0</v>
      </c>
      <c r="U32" s="363"/>
      <c r="V32" s="307"/>
      <c r="W32" s="236"/>
      <c r="X32" s="245"/>
      <c r="Y32" s="156"/>
    </row>
    <row r="33" spans="1:25" s="1" customFormat="1" x14ac:dyDescent="0.2">
      <c r="A33" s="329" t="s">
        <v>259</v>
      </c>
      <c r="B33" s="329"/>
      <c r="C33" s="329"/>
      <c r="D33" s="329"/>
      <c r="E33" s="329"/>
      <c r="F33" s="329"/>
      <c r="G33" s="329"/>
      <c r="H33" s="409" t="s">
        <v>296</v>
      </c>
      <c r="I33" s="409" t="s">
        <v>301</v>
      </c>
      <c r="J33" s="409" t="s">
        <v>39</v>
      </c>
      <c r="K33" s="409" t="s">
        <v>304</v>
      </c>
      <c r="L33" s="409" t="s">
        <v>34</v>
      </c>
      <c r="M33" s="514">
        <v>1</v>
      </c>
      <c r="N33" s="372">
        <v>4.0000000000000001E-3</v>
      </c>
      <c r="O33" s="516"/>
      <c r="P33" s="516"/>
      <c r="Q33" s="516"/>
      <c r="R33" s="516"/>
      <c r="S33" s="372">
        <f>IFERROR(AVERAGE(O33:R34)/M33,0)</f>
        <v>0</v>
      </c>
      <c r="T33" s="372">
        <f>IF(S33&lt;=100%,S33*N33,N33)</f>
        <v>0</v>
      </c>
      <c r="U33" s="362">
        <f>((SUM(T33:T36))/C40)*100</f>
        <v>0</v>
      </c>
      <c r="V33" s="364"/>
      <c r="W33" s="364"/>
      <c r="X33" s="364"/>
      <c r="Y33" s="364"/>
    </row>
    <row r="34" spans="1:25" s="1" customFormat="1" ht="63.75" x14ac:dyDescent="0.2">
      <c r="A34" s="452" t="str">
        <f>+A28</f>
        <v>DIMENSIÓN 1: Creemos en la cultura ciudadana</v>
      </c>
      <c r="B34" s="383" t="str">
        <f>+'Objetivos Estratégicos'!B7</f>
        <v xml:space="preserve">Incrementar el nivel de eficiencia y eficacia operativa y administrativa en la gestión y ejecución de los procesos. </v>
      </c>
      <c r="C34" s="372">
        <f>F34</f>
        <v>0.01</v>
      </c>
      <c r="D34" s="367" t="s">
        <v>299</v>
      </c>
      <c r="E34" s="368"/>
      <c r="F34" s="373">
        <f>SUM(N33:N36)</f>
        <v>0.01</v>
      </c>
      <c r="G34" s="113" t="s">
        <v>239</v>
      </c>
      <c r="H34" s="410"/>
      <c r="I34" s="410"/>
      <c r="J34" s="410"/>
      <c r="K34" s="410"/>
      <c r="L34" s="410"/>
      <c r="M34" s="515"/>
      <c r="N34" s="374"/>
      <c r="O34" s="517"/>
      <c r="P34" s="517"/>
      <c r="Q34" s="517"/>
      <c r="R34" s="517"/>
      <c r="S34" s="374"/>
      <c r="T34" s="374"/>
      <c r="U34" s="513"/>
      <c r="V34" s="365"/>
      <c r="W34" s="365"/>
      <c r="X34" s="365"/>
      <c r="Y34" s="365"/>
    </row>
    <row r="35" spans="1:25" s="1" customFormat="1" ht="63.75" x14ac:dyDescent="0.2">
      <c r="A35" s="453"/>
      <c r="B35" s="384"/>
      <c r="C35" s="373"/>
      <c r="D35" s="367" t="s">
        <v>300</v>
      </c>
      <c r="E35" s="368"/>
      <c r="F35" s="373"/>
      <c r="G35" s="113" t="s">
        <v>239</v>
      </c>
      <c r="H35" s="193" t="s">
        <v>297</v>
      </c>
      <c r="I35" s="193" t="s">
        <v>302</v>
      </c>
      <c r="J35" s="193" t="s">
        <v>39</v>
      </c>
      <c r="K35" s="193" t="s">
        <v>305</v>
      </c>
      <c r="L35" s="193" t="s">
        <v>34</v>
      </c>
      <c r="M35" s="283">
        <v>0.35</v>
      </c>
      <c r="N35" s="110">
        <v>4.0000000000000001E-3</v>
      </c>
      <c r="O35" s="291"/>
      <c r="P35" s="282"/>
      <c r="Q35" s="282"/>
      <c r="R35" s="282"/>
      <c r="S35" s="110">
        <f>IFERROR(AVERAGE(O35:R35)/M35,0)</f>
        <v>0</v>
      </c>
      <c r="T35" s="110">
        <f>IF(S35&lt;=100%,S35*N35,N35)</f>
        <v>0</v>
      </c>
      <c r="U35" s="513"/>
      <c r="V35" s="163"/>
      <c r="W35" s="163"/>
      <c r="X35" s="163"/>
      <c r="Y35" s="256"/>
    </row>
    <row r="36" spans="1:25" s="1" customFormat="1" ht="63.75" x14ac:dyDescent="0.2">
      <c r="A36" s="454"/>
      <c r="B36" s="385"/>
      <c r="C36" s="374"/>
      <c r="D36" s="367" t="s">
        <v>359</v>
      </c>
      <c r="E36" s="368"/>
      <c r="F36" s="374"/>
      <c r="G36" s="113" t="s">
        <v>239</v>
      </c>
      <c r="H36" s="193" t="s">
        <v>298</v>
      </c>
      <c r="I36" s="193" t="s">
        <v>303</v>
      </c>
      <c r="J36" s="193" t="s">
        <v>39</v>
      </c>
      <c r="K36" s="193" t="s">
        <v>306</v>
      </c>
      <c r="L36" s="193" t="s">
        <v>34</v>
      </c>
      <c r="M36" s="283">
        <v>0.8</v>
      </c>
      <c r="N36" s="110">
        <v>2E-3</v>
      </c>
      <c r="O36" s="291"/>
      <c r="P36" s="282"/>
      <c r="Q36" s="282"/>
      <c r="R36" s="282"/>
      <c r="S36" s="110">
        <f>IFERROR(AVERAGE(Q36:R36)/M36,0)</f>
        <v>0</v>
      </c>
      <c r="T36" s="110">
        <f>IF(S36&lt;=100%,S36*N36,N36)</f>
        <v>0</v>
      </c>
      <c r="U36" s="363"/>
      <c r="V36" s="163"/>
      <c r="W36" s="163"/>
      <c r="X36" s="164"/>
      <c r="Y36" s="256"/>
    </row>
    <row r="37" spans="1:25" ht="13.5" customHeight="1" x14ac:dyDescent="0.2">
      <c r="A37" s="366" t="s">
        <v>16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57">
        <f>SUM(U11:U36)</f>
        <v>0</v>
      </c>
      <c r="V37" s="326"/>
      <c r="W37" s="326"/>
      <c r="X37" s="326"/>
      <c r="Y37" s="326"/>
    </row>
    <row r="39" spans="1:25" ht="38.25" x14ac:dyDescent="0.2">
      <c r="C39" s="97">
        <f>+C34+C28+C22+C17+C12</f>
        <v>0.31659999999999999</v>
      </c>
      <c r="Y39" s="132" t="s">
        <v>313</v>
      </c>
    </row>
    <row r="40" spans="1:25" x14ac:dyDescent="0.2">
      <c r="C40" s="12">
        <f>+C39*100</f>
        <v>31.66</v>
      </c>
    </row>
  </sheetData>
  <mergeCells count="159">
    <mergeCell ref="Y9:Y10"/>
    <mergeCell ref="S9:S10"/>
    <mergeCell ref="T9:T10"/>
    <mergeCell ref="N11:N12"/>
    <mergeCell ref="N9:N10"/>
    <mergeCell ref="O9:O10"/>
    <mergeCell ref="A1:D3"/>
    <mergeCell ref="E1:Y3"/>
    <mergeCell ref="A4:Y4"/>
    <mergeCell ref="A5:Y5"/>
    <mergeCell ref="A6:Y6"/>
    <mergeCell ref="A7:Y7"/>
    <mergeCell ref="P9:P10"/>
    <mergeCell ref="Q9:Q10"/>
    <mergeCell ref="R9:R10"/>
    <mergeCell ref="A8:N8"/>
    <mergeCell ref="O8:R8"/>
    <mergeCell ref="V8:Y8"/>
    <mergeCell ref="A9:A10"/>
    <mergeCell ref="B9:B10"/>
    <mergeCell ref="C9:C10"/>
    <mergeCell ref="V9:V10"/>
    <mergeCell ref="W9:W10"/>
    <mergeCell ref="X9:X10"/>
    <mergeCell ref="D9:E10"/>
    <mergeCell ref="F9:F10"/>
    <mergeCell ref="G9:G10"/>
    <mergeCell ref="H9:M9"/>
    <mergeCell ref="U9:U10"/>
    <mergeCell ref="M16:M17"/>
    <mergeCell ref="N16:N17"/>
    <mergeCell ref="A16:G16"/>
    <mergeCell ref="H16:H17"/>
    <mergeCell ref="I16:I17"/>
    <mergeCell ref="J16:J17"/>
    <mergeCell ref="K16:K17"/>
    <mergeCell ref="L16:L17"/>
    <mergeCell ref="A17:A20"/>
    <mergeCell ref="B17:B20"/>
    <mergeCell ref="C17:C20"/>
    <mergeCell ref="D17:E20"/>
    <mergeCell ref="F17:F20"/>
    <mergeCell ref="G17:G20"/>
    <mergeCell ref="U16:U20"/>
    <mergeCell ref="J11:J12"/>
    <mergeCell ref="K11:K12"/>
    <mergeCell ref="L11:L12"/>
    <mergeCell ref="M11:M12"/>
    <mergeCell ref="Y11:Y12"/>
    <mergeCell ref="A12:A15"/>
    <mergeCell ref="B12:B15"/>
    <mergeCell ref="C12:C15"/>
    <mergeCell ref="D12:E15"/>
    <mergeCell ref="F12:F15"/>
    <mergeCell ref="G12:G15"/>
    <mergeCell ref="S11:S12"/>
    <mergeCell ref="T11:T12"/>
    <mergeCell ref="U11:U15"/>
    <mergeCell ref="V11:V12"/>
    <mergeCell ref="W11:W12"/>
    <mergeCell ref="A11:G11"/>
    <mergeCell ref="H11:H12"/>
    <mergeCell ref="I11:I12"/>
    <mergeCell ref="X11:X12"/>
    <mergeCell ref="O11:O12"/>
    <mergeCell ref="P11:P12"/>
    <mergeCell ref="Q11:Q12"/>
    <mergeCell ref="R11:R12"/>
    <mergeCell ref="Y16:Y17"/>
    <mergeCell ref="S16:S17"/>
    <mergeCell ref="T16:T17"/>
    <mergeCell ref="V16:V17"/>
    <mergeCell ref="W16:W17"/>
    <mergeCell ref="X16:X17"/>
    <mergeCell ref="O16:O17"/>
    <mergeCell ref="P16:P17"/>
    <mergeCell ref="Q16:Q17"/>
    <mergeCell ref="R16:R17"/>
    <mergeCell ref="Y21:Y22"/>
    <mergeCell ref="A22:A26"/>
    <mergeCell ref="B22:B26"/>
    <mergeCell ref="C22:C26"/>
    <mergeCell ref="D22:E26"/>
    <mergeCell ref="F22:F26"/>
    <mergeCell ref="G22:G26"/>
    <mergeCell ref="S21:S22"/>
    <mergeCell ref="T21:T22"/>
    <mergeCell ref="U21:U26"/>
    <mergeCell ref="V21:V22"/>
    <mergeCell ref="W21:W22"/>
    <mergeCell ref="X21:X22"/>
    <mergeCell ref="M21:M22"/>
    <mergeCell ref="N21:N22"/>
    <mergeCell ref="O21:O22"/>
    <mergeCell ref="P21:P22"/>
    <mergeCell ref="Q21:Q22"/>
    <mergeCell ref="R21:R22"/>
    <mergeCell ref="A21:G21"/>
    <mergeCell ref="H21:H22"/>
    <mergeCell ref="I21:I22"/>
    <mergeCell ref="J21:J22"/>
    <mergeCell ref="K21:K22"/>
    <mergeCell ref="L21:L22"/>
    <mergeCell ref="I33:I34"/>
    <mergeCell ref="J33:J34"/>
    <mergeCell ref="K33:K34"/>
    <mergeCell ref="D34:E34"/>
    <mergeCell ref="D31:E31"/>
    <mergeCell ref="D32:E32"/>
    <mergeCell ref="D30:E30"/>
    <mergeCell ref="A27:G27"/>
    <mergeCell ref="H27:H28"/>
    <mergeCell ref="I27:I28"/>
    <mergeCell ref="J27:J28"/>
    <mergeCell ref="K27:K28"/>
    <mergeCell ref="L27:L28"/>
    <mergeCell ref="Y27:Y28"/>
    <mergeCell ref="A28:A32"/>
    <mergeCell ref="B28:B32"/>
    <mergeCell ref="C28:C32"/>
    <mergeCell ref="D28:E28"/>
    <mergeCell ref="F28:F32"/>
    <mergeCell ref="D29:E29"/>
    <mergeCell ref="S27:S28"/>
    <mergeCell ref="T27:T28"/>
    <mergeCell ref="U27:U32"/>
    <mergeCell ref="V27:V28"/>
    <mergeCell ref="W27:W28"/>
    <mergeCell ref="X27:X28"/>
    <mergeCell ref="M27:M28"/>
    <mergeCell ref="N27:N28"/>
    <mergeCell ref="R27:R28"/>
    <mergeCell ref="O27:O28"/>
    <mergeCell ref="P27:P28"/>
    <mergeCell ref="Q27:Q28"/>
    <mergeCell ref="V33:V34"/>
    <mergeCell ref="W33:W34"/>
    <mergeCell ref="A34:A36"/>
    <mergeCell ref="B34:B36"/>
    <mergeCell ref="C34:C36"/>
    <mergeCell ref="A37:T37"/>
    <mergeCell ref="V37:Y37"/>
    <mergeCell ref="D35:E35"/>
    <mergeCell ref="D36:E36"/>
    <mergeCell ref="X33:X34"/>
    <mergeCell ref="Y33:Y34"/>
    <mergeCell ref="F34:F36"/>
    <mergeCell ref="S33:S34"/>
    <mergeCell ref="T33:T34"/>
    <mergeCell ref="U33:U36"/>
    <mergeCell ref="L33:L34"/>
    <mergeCell ref="M33:M34"/>
    <mergeCell ref="N33:N34"/>
    <mergeCell ref="O33:O34"/>
    <mergeCell ref="P33:P34"/>
    <mergeCell ref="Q33:Q34"/>
    <mergeCell ref="R33:R34"/>
    <mergeCell ref="A33:G33"/>
    <mergeCell ref="H33:H34"/>
  </mergeCells>
  <pageMargins left="0.7" right="0.7" top="0.75" bottom="0.75" header="0.3" footer="0.3"/>
  <pageSetup orientation="portrait" r:id="rId1"/>
  <ignoredErrors>
    <ignoredError sqref="F12 F34 F28 F22 F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15"/>
  <sheetViews>
    <sheetView showGridLines="0" zoomScale="70" zoomScaleNormal="70" zoomScalePageLayoutView="125" workbookViewId="0">
      <selection activeCell="A9" sqref="A9:A10"/>
    </sheetView>
  </sheetViews>
  <sheetFormatPr baseColWidth="10" defaultColWidth="10.85546875" defaultRowHeight="12.75" x14ac:dyDescent="0.2"/>
  <cols>
    <col min="1" max="1" width="18.7109375" style="12" customWidth="1"/>
    <col min="2" max="2" width="23" style="12" customWidth="1"/>
    <col min="3" max="3" width="10.28515625" style="12" customWidth="1"/>
    <col min="4" max="4" width="10.85546875" style="12"/>
    <col min="5" max="5" width="17.5703125" style="12" customWidth="1"/>
    <col min="6" max="6" width="10.42578125" style="12" customWidth="1"/>
    <col min="7" max="7" width="19" style="12" customWidth="1"/>
    <col min="8" max="8" width="21.140625" style="12" customWidth="1"/>
    <col min="9" max="9" width="23.140625" style="12" customWidth="1"/>
    <col min="10" max="10" width="14.28515625" style="12" customWidth="1"/>
    <col min="11" max="11" width="21.140625" style="12" customWidth="1"/>
    <col min="12" max="12" width="14.28515625" style="12" customWidth="1"/>
    <col min="13" max="13" width="10.85546875" style="12"/>
    <col min="14" max="14" width="10.42578125" style="12" customWidth="1"/>
    <col min="15" max="15" width="13.7109375" style="12" customWidth="1"/>
    <col min="16" max="16" width="13.5703125" style="12" customWidth="1"/>
    <col min="17" max="18" width="13.28515625" style="12" customWidth="1"/>
    <col min="19" max="19" width="15.42578125" style="12" customWidth="1"/>
    <col min="20" max="20" width="14.7109375" style="12" customWidth="1"/>
    <col min="21" max="21" width="12.7109375" style="12" customWidth="1"/>
    <col min="22" max="25" width="29.85546875" style="12" customWidth="1"/>
    <col min="26" max="16384" width="10.85546875" style="12"/>
  </cols>
  <sheetData>
    <row r="1" spans="1:25" ht="13.5" customHeight="1" x14ac:dyDescent="0.2">
      <c r="A1" s="546"/>
      <c r="B1" s="546"/>
      <c r="C1" s="546"/>
      <c r="D1" s="546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13.5" customHeight="1" x14ac:dyDescent="0.2">
      <c r="A2" s="546"/>
      <c r="B2" s="546"/>
      <c r="C2" s="546"/>
      <c r="D2" s="546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13.5" customHeight="1" x14ac:dyDescent="0.2">
      <c r="A3" s="546"/>
      <c r="B3" s="546"/>
      <c r="C3" s="546"/>
      <c r="D3" s="546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x14ac:dyDescent="0.2">
      <c r="A4" s="360" t="s">
        <v>32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x14ac:dyDescent="0.2">
      <c r="A5" s="360" t="s">
        <v>114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5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5" x14ac:dyDescent="0.2">
      <c r="A7" s="462"/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4"/>
    </row>
    <row r="8" spans="1:25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122"/>
      <c r="T8" s="122"/>
      <c r="U8" s="122"/>
      <c r="V8" s="344" t="s">
        <v>4</v>
      </c>
      <c r="W8" s="344"/>
      <c r="X8" s="344"/>
      <c r="Y8" s="344"/>
    </row>
    <row r="9" spans="1:25" ht="13.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341" t="s">
        <v>8</v>
      </c>
      <c r="I9" s="341"/>
      <c r="J9" s="341"/>
      <c r="K9" s="341"/>
      <c r="L9" s="341"/>
      <c r="M9" s="341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327" t="s">
        <v>11</v>
      </c>
      <c r="W9" s="327" t="s">
        <v>12</v>
      </c>
      <c r="X9" s="327" t="s">
        <v>13</v>
      </c>
      <c r="Y9" s="327" t="s">
        <v>14</v>
      </c>
    </row>
    <row r="10" spans="1:25" ht="51" customHeight="1" x14ac:dyDescent="0.2">
      <c r="A10" s="341"/>
      <c r="B10" s="341"/>
      <c r="C10" s="343"/>
      <c r="D10" s="341"/>
      <c r="E10" s="341"/>
      <c r="F10" s="343"/>
      <c r="G10" s="341"/>
      <c r="H10" s="122" t="s">
        <v>47</v>
      </c>
      <c r="I10" s="130" t="s">
        <v>46</v>
      </c>
      <c r="J10" s="130" t="s">
        <v>51</v>
      </c>
      <c r="K10" s="122" t="s">
        <v>35</v>
      </c>
      <c r="L10" s="130" t="s">
        <v>52</v>
      </c>
      <c r="M10" s="130" t="s">
        <v>56</v>
      </c>
      <c r="N10" s="343"/>
      <c r="O10" s="327"/>
      <c r="P10" s="327"/>
      <c r="Q10" s="327"/>
      <c r="R10" s="327"/>
      <c r="S10" s="343"/>
      <c r="T10" s="343"/>
      <c r="U10" s="343"/>
      <c r="V10" s="327"/>
      <c r="W10" s="327"/>
      <c r="X10" s="327"/>
      <c r="Y10" s="327"/>
    </row>
    <row r="11" spans="1:25" ht="96" customHeight="1" x14ac:dyDescent="0.2">
      <c r="A11" s="125" t="s">
        <v>136</v>
      </c>
      <c r="B11" s="125" t="str">
        <f>+'Objetivos Estratégicos'!B7</f>
        <v xml:space="preserve">Incrementar el nivel de eficiencia y eficacia operativa y administrativa en la gestión y ejecución de los procesos. </v>
      </c>
      <c r="C11" s="128">
        <f>+F11</f>
        <v>0.01</v>
      </c>
      <c r="D11" s="330" t="s">
        <v>407</v>
      </c>
      <c r="E11" s="330"/>
      <c r="F11" s="128">
        <f>+N11</f>
        <v>0.01</v>
      </c>
      <c r="G11" s="121" t="s">
        <v>33</v>
      </c>
      <c r="H11" s="121" t="s">
        <v>134</v>
      </c>
      <c r="I11" s="121" t="s">
        <v>406</v>
      </c>
      <c r="J11" s="121" t="s">
        <v>53</v>
      </c>
      <c r="K11" s="121" t="s">
        <v>135</v>
      </c>
      <c r="L11" s="121" t="s">
        <v>34</v>
      </c>
      <c r="M11" s="129">
        <v>1</v>
      </c>
      <c r="N11" s="131">
        <v>0.01</v>
      </c>
      <c r="O11" s="175"/>
      <c r="P11" s="175"/>
      <c r="Q11" s="175"/>
      <c r="R11" s="188"/>
      <c r="S11" s="174">
        <f>SUM(O11:R11)/M11</f>
        <v>0</v>
      </c>
      <c r="T11" s="124">
        <f>IF(S11&lt;=100%,S11*N11,N11)</f>
        <v>0</v>
      </c>
      <c r="U11" s="124">
        <f>(T11/C15)*100</f>
        <v>0</v>
      </c>
      <c r="V11" s="139"/>
      <c r="W11" s="139"/>
      <c r="X11" s="255"/>
      <c r="Y11" s="185"/>
    </row>
    <row r="12" spans="1:25" x14ac:dyDescent="0.2">
      <c r="A12" s="366" t="s">
        <v>16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57">
        <f>SUM(U11:U11)</f>
        <v>0</v>
      </c>
      <c r="V12" s="326"/>
      <c r="W12" s="326"/>
      <c r="X12" s="326"/>
      <c r="Y12" s="326"/>
    </row>
    <row r="14" spans="1:25" ht="36" x14ac:dyDescent="0.2">
      <c r="C14" s="147">
        <f>+C11</f>
        <v>0.01</v>
      </c>
      <c r="Y14" s="116" t="s">
        <v>313</v>
      </c>
    </row>
    <row r="15" spans="1:25" x14ac:dyDescent="0.2">
      <c r="C15" s="12">
        <f>+C14*100</f>
        <v>1</v>
      </c>
      <c r="X15" s="189"/>
    </row>
  </sheetData>
  <mergeCells count="31">
    <mergeCell ref="A4:Y4"/>
    <mergeCell ref="A1:D3"/>
    <mergeCell ref="E1:Y3"/>
    <mergeCell ref="Q9:Q10"/>
    <mergeCell ref="A5:Y5"/>
    <mergeCell ref="A6:Y6"/>
    <mergeCell ref="A8:N8"/>
    <mergeCell ref="O8:R8"/>
    <mergeCell ref="V8:Y8"/>
    <mergeCell ref="G9:G10"/>
    <mergeCell ref="H9:M9"/>
    <mergeCell ref="N9:N10"/>
    <mergeCell ref="O9:O10"/>
    <mergeCell ref="P9:P10"/>
    <mergeCell ref="A7:Y7"/>
    <mergeCell ref="A12:T12"/>
    <mergeCell ref="V12:Y12"/>
    <mergeCell ref="Y9:Y10"/>
    <mergeCell ref="D11:E11"/>
    <mergeCell ref="S9:S10"/>
    <mergeCell ref="T9:T10"/>
    <mergeCell ref="U9:U10"/>
    <mergeCell ref="V9:V10"/>
    <mergeCell ref="W9:W10"/>
    <mergeCell ref="X9:X10"/>
    <mergeCell ref="R9:R10"/>
    <mergeCell ref="A9:A10"/>
    <mergeCell ref="B9:B10"/>
    <mergeCell ref="C9:C10"/>
    <mergeCell ref="D9:E10"/>
    <mergeCell ref="F9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1"/>
  <sheetViews>
    <sheetView showGridLines="0"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3.7109375" style="3" customWidth="1"/>
    <col min="2" max="2" width="95.7109375" style="3" bestFit="1" customWidth="1"/>
    <col min="3" max="3" width="20.28515625" style="3" customWidth="1"/>
    <col min="4" max="4" width="18.28515625" style="3" customWidth="1"/>
    <col min="5" max="5" width="21.5703125" style="3" bestFit="1" customWidth="1"/>
    <col min="6" max="16384" width="10.85546875" style="3"/>
  </cols>
  <sheetData>
    <row r="1" spans="1:7" ht="32.25" customHeight="1" thickBot="1" x14ac:dyDescent="0.25">
      <c r="A1" s="322" t="s">
        <v>18</v>
      </c>
      <c r="B1" s="323"/>
      <c r="C1" s="323"/>
      <c r="D1" s="324"/>
    </row>
    <row r="2" spans="1:7" ht="30.75" thickBot="1" x14ac:dyDescent="0.3">
      <c r="A2" s="4" t="s">
        <v>19</v>
      </c>
      <c r="B2" s="5" t="s">
        <v>140</v>
      </c>
      <c r="C2" s="159" t="s">
        <v>5</v>
      </c>
      <c r="D2" s="6" t="s">
        <v>425</v>
      </c>
    </row>
    <row r="3" spans="1:7" ht="41.25" customHeight="1" x14ac:dyDescent="0.3">
      <c r="A3" s="91">
        <v>1</v>
      </c>
      <c r="B3" s="92" t="s">
        <v>24</v>
      </c>
      <c r="C3" s="93">
        <f>SUM(Gerencia!C12)+SUM('G. Programación'!C12,'G. Programación'!C14:C16)+SUM('G. Comunicaciones'!C12:C15,'G. Comunicaciones'!C17:C20)</f>
        <v>0.38500000000000001</v>
      </c>
      <c r="D3" s="93">
        <f>Gerencia!T11+(SUM('G. Programación'!AB11:AB16))+(SUM('G. Comunicaciones'!T11:T19))</f>
        <v>0</v>
      </c>
      <c r="E3" s="223"/>
      <c r="F3" s="222"/>
    </row>
    <row r="4" spans="1:7" ht="38.25" customHeight="1" x14ac:dyDescent="0.2">
      <c r="A4" s="94">
        <v>2</v>
      </c>
      <c r="B4" s="95" t="s">
        <v>370</v>
      </c>
      <c r="C4" s="166">
        <f>SUM('G. Programación'!C17:C18,'G. Programación'!C20:C25,'G. Programación'!C27:C34,'G. Programación'!C36)+SUM('G. Producción'!C11:C14)+SUM('G. Técnica.'!C12:C13)+SUM('G. Comunicaciones'!C22:C26)</f>
        <v>0.375</v>
      </c>
      <c r="D4" s="93">
        <f>SUM('G. Programación'!AB17:AB36)+SUM('G. Producción'!AB11:AB14)+SUM('G. Técnica.'!T11:T13)+(SUM('G. Comunicaciones'!T21:T26))</f>
        <v>0</v>
      </c>
      <c r="E4" s="223"/>
      <c r="F4" s="222"/>
    </row>
    <row r="5" spans="1:7" ht="39" customHeight="1" x14ac:dyDescent="0.2">
      <c r="A5" s="94">
        <v>3</v>
      </c>
      <c r="B5" s="95" t="s">
        <v>346</v>
      </c>
      <c r="C5" s="166">
        <f>SUM('G. Programación'!C38:C43)+SUM('G. Producción'!C15)+SUM('G. Agencia y Central.'!C12:C18)+SUM('G. Comunicaciones'!C28:C32)</f>
        <v>0.109966666666</v>
      </c>
      <c r="D5" s="93">
        <f>+SUM('G. Programación'!AB37:AB43)+'G. Producción'!AB15+SUM('G. Agencia y Central.'!T11:T18)+(SUM('G. Comunicaciones'!T27:T32))</f>
        <v>0</v>
      </c>
      <c r="E5" s="223"/>
      <c r="F5" s="222"/>
      <c r="G5" s="222"/>
    </row>
    <row r="6" spans="1:7" ht="37.5" x14ac:dyDescent="0.2">
      <c r="A6" s="94">
        <v>4</v>
      </c>
      <c r="B6" s="95" t="s">
        <v>20</v>
      </c>
      <c r="C6" s="166">
        <f>SUM(Gerencia!C13)+SUM('G. Adtiva y Fra'!C14:C15,'G. Adtiva y Fra'!C18:C19)</f>
        <v>2.1000000000000001E-2</v>
      </c>
      <c r="D6" s="93">
        <f>+Gerencia!T13+SUM('G. Adtiva y Fra'!AB13+'G. Adtiva y Fra'!AB14+'G. Adtiva y Fra'!AB18+'G. Adtiva y Fra'!AB19)</f>
        <v>0</v>
      </c>
      <c r="E6" s="223"/>
      <c r="F6" s="222"/>
    </row>
    <row r="7" spans="1:7" ht="37.5" x14ac:dyDescent="0.2">
      <c r="A7" s="94">
        <v>5</v>
      </c>
      <c r="B7" s="95" t="s">
        <v>21</v>
      </c>
      <c r="C7" s="166">
        <f>SUM(Planeación!C12)+SUM('G. Adtiva y Fra'!C12,'G. Adtiva y Fra'!C16:C17)+SUM('G. Control Interno'!C11)+SUM('G. Comunicaciones'!C34:C36)</f>
        <v>5.9999999966630004E-2</v>
      </c>
      <c r="D7" s="93">
        <f>+(SUM(Planeación!T11:T17))+SUM('G. Adtiva y Fra'!AB11,'G. Adtiva y Fra'!AB12,'G. Adtiva y Fra'!AB16,'G. Adtiva y Fra'!AB17)+'G. Control Interno'!T11+(SUM('G. Comunicaciones'!T33:T36))</f>
        <v>0</v>
      </c>
      <c r="E7" s="248"/>
      <c r="F7" s="222"/>
    </row>
    <row r="8" spans="1:7" ht="37.5" x14ac:dyDescent="0.2">
      <c r="A8" s="94">
        <v>6</v>
      </c>
      <c r="B8" s="95" t="s">
        <v>22</v>
      </c>
      <c r="C8" s="166">
        <f>SUM('G. Humana'!C12:C14,'G. Humana'!C16:C16,'G. Humana'!C18,'G. Humana'!C20)+SUM('G. Jurídica'!C12:C16)</f>
        <v>4.9000000000000002E-2</v>
      </c>
      <c r="D8" s="93">
        <f>+SUM('G. Humana'!T11:T20)+SUM('G. Jurídica'!T12:T16)</f>
        <v>0</v>
      </c>
      <c r="E8" s="223"/>
      <c r="F8" s="222"/>
    </row>
    <row r="9" spans="1:7" ht="24.75" customHeight="1" x14ac:dyDescent="0.2">
      <c r="A9" s="325" t="s">
        <v>23</v>
      </c>
      <c r="B9" s="325"/>
      <c r="C9" s="158">
        <f>SUM(C3:C8)</f>
        <v>0.99996666663263001</v>
      </c>
      <c r="D9" s="158">
        <f>ROUNDDOWN(SUM(D3:D8),2)</f>
        <v>0</v>
      </c>
      <c r="E9" s="223"/>
    </row>
    <row r="10" spans="1:7" x14ac:dyDescent="0.2">
      <c r="A10" s="7"/>
    </row>
    <row r="11" spans="1:7" x14ac:dyDescent="0.2">
      <c r="A11" s="7"/>
    </row>
    <row r="12" spans="1:7" ht="15.75" x14ac:dyDescent="0.2">
      <c r="A12" s="7"/>
      <c r="C12" s="157" t="s">
        <v>399</v>
      </c>
      <c r="D12" s="157" t="s">
        <v>400</v>
      </c>
    </row>
    <row r="13" spans="1:7" ht="15" x14ac:dyDescent="0.25">
      <c r="A13" s="7"/>
      <c r="B13" s="33"/>
      <c r="C13" s="208" t="s">
        <v>388</v>
      </c>
      <c r="D13" s="267">
        <f>Gerencia!U14</f>
        <v>0</v>
      </c>
    </row>
    <row r="14" spans="1:7" ht="15" x14ac:dyDescent="0.25">
      <c r="A14" s="7"/>
      <c r="B14" s="33"/>
      <c r="C14" s="208" t="s">
        <v>393</v>
      </c>
      <c r="D14" s="267">
        <f>'G. Técnica.'!U14</f>
        <v>0</v>
      </c>
    </row>
    <row r="15" spans="1:7" ht="15" x14ac:dyDescent="0.25">
      <c r="A15" s="7"/>
      <c r="B15" s="33"/>
      <c r="C15" s="208" t="s">
        <v>395</v>
      </c>
      <c r="D15" s="267">
        <f>'G. Jurídica'!U17</f>
        <v>0</v>
      </c>
    </row>
    <row r="16" spans="1:7" ht="15" x14ac:dyDescent="0.25">
      <c r="A16" s="7"/>
      <c r="C16" s="208" t="s">
        <v>394</v>
      </c>
      <c r="D16" s="267">
        <f>'G. Humana'!U21</f>
        <v>0</v>
      </c>
    </row>
    <row r="17" spans="1:4" ht="15" x14ac:dyDescent="0.25">
      <c r="A17" s="7"/>
      <c r="C17" s="208" t="s">
        <v>392</v>
      </c>
      <c r="D17" s="267">
        <f>'G. Agencia y Central.'!U19</f>
        <v>0</v>
      </c>
    </row>
    <row r="18" spans="1:4" ht="15" x14ac:dyDescent="0.25">
      <c r="A18" s="7"/>
      <c r="C18" s="208" t="s">
        <v>391</v>
      </c>
      <c r="D18" s="267">
        <f>'G. Producción'!AC16</f>
        <v>0</v>
      </c>
    </row>
    <row r="19" spans="1:4" ht="15" x14ac:dyDescent="0.25">
      <c r="A19" s="7"/>
      <c r="C19" s="208" t="s">
        <v>396</v>
      </c>
      <c r="D19" s="267">
        <f>'G. Adtiva y Fra'!AC20</f>
        <v>0</v>
      </c>
    </row>
    <row r="20" spans="1:4" ht="15" x14ac:dyDescent="0.25">
      <c r="A20" s="7"/>
      <c r="C20" s="208" t="s">
        <v>389</v>
      </c>
      <c r="D20" s="267">
        <f>Planeación!U18</f>
        <v>0</v>
      </c>
    </row>
    <row r="21" spans="1:4" ht="15" x14ac:dyDescent="0.25">
      <c r="A21" s="7"/>
      <c r="C21" s="208" t="s">
        <v>397</v>
      </c>
      <c r="D21" s="267">
        <f>'G. Control Interno'!U12</f>
        <v>0</v>
      </c>
    </row>
    <row r="22" spans="1:4" ht="15" x14ac:dyDescent="0.25">
      <c r="A22" s="7"/>
      <c r="C22" s="208" t="s">
        <v>398</v>
      </c>
      <c r="D22" s="267">
        <f>'G. Comunicaciones'!U37</f>
        <v>0</v>
      </c>
    </row>
    <row r="23" spans="1:4" ht="15" x14ac:dyDescent="0.25">
      <c r="A23" s="7"/>
      <c r="B23" s="33"/>
      <c r="C23" s="208" t="s">
        <v>390</v>
      </c>
      <c r="D23" s="267">
        <f>'G. Programación'!AC44</f>
        <v>0</v>
      </c>
    </row>
    <row r="24" spans="1:4" x14ac:dyDescent="0.2">
      <c r="A24" s="7"/>
      <c r="D24" s="33"/>
    </row>
    <row r="25" spans="1:4" x14ac:dyDescent="0.2">
      <c r="A25" s="7"/>
    </row>
    <row r="26" spans="1:4" x14ac:dyDescent="0.2">
      <c r="A26" s="7"/>
    </row>
    <row r="27" spans="1:4" x14ac:dyDescent="0.2">
      <c r="A27" s="7"/>
    </row>
    <row r="31" spans="1:4" x14ac:dyDescent="0.2">
      <c r="B31" s="33" t="s">
        <v>139</v>
      </c>
    </row>
  </sheetData>
  <sortState ref="C13:D23">
    <sortCondition descending="1" ref="D13:D23"/>
  </sortState>
  <mergeCells count="2">
    <mergeCell ref="A1:D1"/>
    <mergeCell ref="A9:B9"/>
  </mergeCells>
  <pageMargins left="0.70866141732283472" right="0.70866141732283472" top="0.74803149606299213" bottom="0.74803149606299213" header="0.31496062992125984" footer="0.31496062992125984"/>
  <pageSetup paperSize="12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47"/>
  <sheetViews>
    <sheetView showGridLines="0" topLeftCell="J1" zoomScale="70" zoomScaleNormal="70" zoomScalePageLayoutView="70" workbookViewId="0">
      <selection activeCell="W22" sqref="W22"/>
    </sheetView>
  </sheetViews>
  <sheetFormatPr baseColWidth="10" defaultColWidth="10.85546875" defaultRowHeight="12.75" x14ac:dyDescent="0.2"/>
  <cols>
    <col min="1" max="1" width="30.42578125" style="12" customWidth="1"/>
    <col min="2" max="2" width="36.140625" style="12" customWidth="1"/>
    <col min="3" max="3" width="10.42578125" style="12" customWidth="1"/>
    <col min="4" max="4" width="10.85546875" style="12"/>
    <col min="5" max="5" width="18.28515625" style="12" customWidth="1"/>
    <col min="6" max="6" width="10" style="12" customWidth="1"/>
    <col min="7" max="7" width="17.85546875" style="12" customWidth="1"/>
    <col min="8" max="8" width="19.28515625" style="12" customWidth="1"/>
    <col min="9" max="9" width="31.140625" style="12" customWidth="1"/>
    <col min="10" max="10" width="23.28515625" style="12" customWidth="1"/>
    <col min="11" max="11" width="16" style="12" customWidth="1"/>
    <col min="12" max="12" width="15.42578125" style="12" customWidth="1"/>
    <col min="13" max="13" width="20.5703125" style="12" bestFit="1" customWidth="1"/>
    <col min="14" max="14" width="11.140625" style="12" customWidth="1"/>
    <col min="15" max="15" width="21.7109375" style="12" customWidth="1"/>
    <col min="16" max="16" width="14.7109375" style="12" customWidth="1"/>
    <col min="17" max="17" width="15.85546875" style="12" customWidth="1"/>
    <col min="18" max="18" width="16.42578125" style="12" customWidth="1"/>
    <col min="19" max="19" width="14" style="12" customWidth="1"/>
    <col min="20" max="20" width="15.85546875" style="12" customWidth="1"/>
    <col min="21" max="21" width="13.140625" style="12" customWidth="1"/>
    <col min="22" max="25" width="32.5703125" style="12" customWidth="1"/>
    <col min="26" max="16384" width="10.85546875" style="12"/>
  </cols>
  <sheetData>
    <row r="1" spans="1:25" ht="24.75" customHeight="1" x14ac:dyDescent="0.2">
      <c r="A1" s="348"/>
      <c r="B1" s="348"/>
      <c r="C1" s="348"/>
      <c r="D1" s="349" t="s">
        <v>0</v>
      </c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24.75" customHeight="1" x14ac:dyDescent="0.2">
      <c r="A2" s="348"/>
      <c r="B2" s="348"/>
      <c r="C2" s="348"/>
      <c r="D2" s="352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24.75" customHeight="1" x14ac:dyDescent="0.2">
      <c r="A3" s="348"/>
      <c r="B3" s="348"/>
      <c r="C3" s="348"/>
      <c r="D3" s="355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x14ac:dyDescent="0.2">
      <c r="A4" s="360" t="s">
        <v>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x14ac:dyDescent="0.2">
      <c r="A5" s="360" t="s">
        <v>111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5" ht="15" customHeight="1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5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7"/>
    </row>
    <row r="8" spans="1:25" ht="15.75" customHeight="1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61"/>
      <c r="T8" s="61"/>
      <c r="U8" s="61"/>
      <c r="V8" s="344" t="s">
        <v>4</v>
      </c>
      <c r="W8" s="344"/>
      <c r="X8" s="344"/>
      <c r="Y8" s="344"/>
    </row>
    <row r="9" spans="1:25" ht="12.75" customHeight="1" x14ac:dyDescent="0.2">
      <c r="A9" s="341" t="s">
        <v>137</v>
      </c>
      <c r="B9" s="341" t="s">
        <v>364</v>
      </c>
      <c r="C9" s="343" t="s">
        <v>5</v>
      </c>
      <c r="D9" s="341" t="s">
        <v>408</v>
      </c>
      <c r="E9" s="341"/>
      <c r="F9" s="343" t="s">
        <v>5</v>
      </c>
      <c r="G9" s="341" t="s">
        <v>7</v>
      </c>
      <c r="H9" s="341" t="s">
        <v>8</v>
      </c>
      <c r="I9" s="341"/>
      <c r="J9" s="341"/>
      <c r="K9" s="341"/>
      <c r="L9" s="341"/>
      <c r="M9" s="341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327" t="s">
        <v>11</v>
      </c>
      <c r="W9" s="327" t="s">
        <v>12</v>
      </c>
      <c r="X9" s="327" t="s">
        <v>13</v>
      </c>
      <c r="Y9" s="327" t="s">
        <v>14</v>
      </c>
    </row>
    <row r="10" spans="1:25" ht="51.75" customHeight="1" x14ac:dyDescent="0.2">
      <c r="A10" s="341"/>
      <c r="B10" s="341"/>
      <c r="C10" s="343"/>
      <c r="D10" s="341"/>
      <c r="E10" s="341"/>
      <c r="F10" s="343"/>
      <c r="G10" s="341"/>
      <c r="H10" s="61" t="s">
        <v>47</v>
      </c>
      <c r="I10" s="58" t="s">
        <v>46</v>
      </c>
      <c r="J10" s="58" t="s">
        <v>51</v>
      </c>
      <c r="K10" s="61" t="s">
        <v>35</v>
      </c>
      <c r="L10" s="58" t="s">
        <v>52</v>
      </c>
      <c r="M10" s="58" t="s">
        <v>56</v>
      </c>
      <c r="N10" s="343"/>
      <c r="O10" s="327"/>
      <c r="P10" s="327"/>
      <c r="Q10" s="327"/>
      <c r="R10" s="327"/>
      <c r="S10" s="343"/>
      <c r="T10" s="343"/>
      <c r="U10" s="343"/>
      <c r="V10" s="328"/>
      <c r="W10" s="328"/>
      <c r="X10" s="328"/>
      <c r="Y10" s="328"/>
    </row>
    <row r="11" spans="1:25" s="1" customFormat="1" ht="12.75" customHeight="1" x14ac:dyDescent="0.2">
      <c r="A11" s="329" t="s">
        <v>259</v>
      </c>
      <c r="B11" s="329"/>
      <c r="C11" s="329"/>
      <c r="D11" s="329"/>
      <c r="E11" s="329"/>
      <c r="F11" s="329"/>
      <c r="G11" s="329"/>
      <c r="H11" s="330" t="s">
        <v>264</v>
      </c>
      <c r="I11" s="330" t="s">
        <v>360</v>
      </c>
      <c r="J11" s="330" t="s">
        <v>39</v>
      </c>
      <c r="K11" s="330" t="s">
        <v>319</v>
      </c>
      <c r="L11" s="330" t="s">
        <v>68</v>
      </c>
      <c r="M11" s="332">
        <v>15972000000</v>
      </c>
      <c r="N11" s="333">
        <v>5.0000000000000001E-3</v>
      </c>
      <c r="O11" s="332"/>
      <c r="P11" s="332"/>
      <c r="Q11" s="332"/>
      <c r="R11" s="332"/>
      <c r="S11" s="342">
        <f>+SUM(O11:R12)/M11</f>
        <v>0</v>
      </c>
      <c r="T11" s="361">
        <f>IF(S11&lt;=100%,S11*N11,N11)</f>
        <v>0</v>
      </c>
      <c r="U11" s="342">
        <f>(T11*C17)*100</f>
        <v>0</v>
      </c>
      <c r="V11" s="359"/>
      <c r="W11" s="337"/>
      <c r="X11" s="337"/>
      <c r="Y11" s="337"/>
    </row>
    <row r="12" spans="1:25" s="1" customFormat="1" ht="69" customHeight="1" x14ac:dyDescent="0.2">
      <c r="A12" s="339" t="str">
        <f>'Plan de desarrollo'!B4</f>
        <v>DIMENSIÓN 1: Creemos en la cultura ciudadana</v>
      </c>
      <c r="B12" s="62" t="str">
        <f>+'Objetivos Estratégicos'!B3</f>
        <v xml:space="preserve">Elevar el nivel de competitividad y posicionamiento del Canal como plataforma de contenidos formativos, Informativos y culturales. </v>
      </c>
      <c r="C12" s="74">
        <f>+F12</f>
        <v>5.0000000000000001E-3</v>
      </c>
      <c r="D12" s="330" t="s">
        <v>265</v>
      </c>
      <c r="E12" s="330"/>
      <c r="F12" s="60">
        <f>+N11</f>
        <v>5.0000000000000001E-3</v>
      </c>
      <c r="G12" s="59" t="s">
        <v>15</v>
      </c>
      <c r="H12" s="331"/>
      <c r="I12" s="331"/>
      <c r="J12" s="331"/>
      <c r="K12" s="331"/>
      <c r="L12" s="331"/>
      <c r="M12" s="332"/>
      <c r="N12" s="331"/>
      <c r="O12" s="332"/>
      <c r="P12" s="332"/>
      <c r="Q12" s="332"/>
      <c r="R12" s="332"/>
      <c r="S12" s="342"/>
      <c r="T12" s="361"/>
      <c r="U12" s="342"/>
      <c r="V12" s="359"/>
      <c r="W12" s="338"/>
      <c r="X12" s="338"/>
      <c r="Y12" s="338"/>
    </row>
    <row r="13" spans="1:25" s="1" customFormat="1" ht="84" customHeight="1" x14ac:dyDescent="0.2">
      <c r="A13" s="340"/>
      <c r="B13" s="65" t="str">
        <f>'Objetivos Estratégicos'!B6</f>
        <v xml:space="preserve">Administrar y optimizar eficientemente los recursos financieros acorde con las expectativas de los asociados. </v>
      </c>
      <c r="C13" s="84">
        <f>+F13</f>
        <v>5.0000000000000001E-3</v>
      </c>
      <c r="D13" s="330" t="s">
        <v>292</v>
      </c>
      <c r="E13" s="330"/>
      <c r="F13" s="85">
        <f>+N13</f>
        <v>5.0000000000000001E-3</v>
      </c>
      <c r="G13" s="63" t="s">
        <v>15</v>
      </c>
      <c r="H13" s="78" t="s">
        <v>293</v>
      </c>
      <c r="I13" s="78" t="s">
        <v>295</v>
      </c>
      <c r="J13" s="78" t="s">
        <v>39</v>
      </c>
      <c r="K13" s="78" t="s">
        <v>294</v>
      </c>
      <c r="L13" s="102" t="s">
        <v>68</v>
      </c>
      <c r="M13" s="142">
        <v>1</v>
      </c>
      <c r="N13" s="71">
        <v>5.0000000000000001E-3</v>
      </c>
      <c r="O13" s="142"/>
      <c r="P13" s="142"/>
      <c r="Q13" s="142"/>
      <c r="R13" s="142"/>
      <c r="S13" s="79">
        <f>+SUM(O13:R13)/M13</f>
        <v>0</v>
      </c>
      <c r="T13" s="72">
        <f>IF(S13&lt;=100%,S13*N13,N13)</f>
        <v>0</v>
      </c>
      <c r="U13" s="80">
        <f>(T13*C17)*100</f>
        <v>0</v>
      </c>
      <c r="V13" s="303"/>
      <c r="W13" s="155"/>
      <c r="X13" s="167"/>
      <c r="Y13" s="187"/>
    </row>
    <row r="14" spans="1:25" ht="22.5" customHeight="1" x14ac:dyDescent="0.2">
      <c r="A14" s="334" t="s">
        <v>16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6"/>
      <c r="U14" s="98">
        <f>+U11+U13</f>
        <v>0</v>
      </c>
      <c r="V14" s="326"/>
      <c r="W14" s="326"/>
      <c r="X14" s="326"/>
      <c r="Y14" s="326"/>
    </row>
    <row r="15" spans="1:25" x14ac:dyDescent="0.2">
      <c r="T15" s="97"/>
    </row>
    <row r="16" spans="1:25" ht="36" x14ac:dyDescent="0.2">
      <c r="C16" s="97">
        <f>+C12+C13</f>
        <v>0.01</v>
      </c>
      <c r="F16" s="97"/>
      <c r="Y16" s="116" t="s">
        <v>313</v>
      </c>
    </row>
    <row r="17" spans="3:15" x14ac:dyDescent="0.2">
      <c r="C17" s="12">
        <f>+C16*100</f>
        <v>1</v>
      </c>
    </row>
    <row r="22" spans="3:15" x14ac:dyDescent="0.2">
      <c r="O22" s="32"/>
    </row>
    <row r="45" spans="2:3" x14ac:dyDescent="0.2">
      <c r="B45" s="21"/>
    </row>
    <row r="47" spans="2:3" x14ac:dyDescent="0.2">
      <c r="B47" s="22"/>
      <c r="C47" s="22"/>
    </row>
  </sheetData>
  <mergeCells count="52">
    <mergeCell ref="A7:Y7"/>
    <mergeCell ref="A1:C3"/>
    <mergeCell ref="D1:Y3"/>
    <mergeCell ref="A8:N8"/>
    <mergeCell ref="V11:V12"/>
    <mergeCell ref="A4:Y4"/>
    <mergeCell ref="R9:R10"/>
    <mergeCell ref="S9:S10"/>
    <mergeCell ref="T9:T10"/>
    <mergeCell ref="U9:U10"/>
    <mergeCell ref="N9:N10"/>
    <mergeCell ref="O9:O10"/>
    <mergeCell ref="A5:Y5"/>
    <mergeCell ref="A6:Y6"/>
    <mergeCell ref="A9:A10"/>
    <mergeCell ref="T11:T12"/>
    <mergeCell ref="B9:B10"/>
    <mergeCell ref="C9:C10"/>
    <mergeCell ref="S11:S12"/>
    <mergeCell ref="P11:P12"/>
    <mergeCell ref="Q11:Q12"/>
    <mergeCell ref="D9:E10"/>
    <mergeCell ref="O8:R8"/>
    <mergeCell ref="U11:U12"/>
    <mergeCell ref="F9:F10"/>
    <mergeCell ref="D13:E13"/>
    <mergeCell ref="V8:Y8"/>
    <mergeCell ref="V9:V10"/>
    <mergeCell ref="W9:W10"/>
    <mergeCell ref="H9:M9"/>
    <mergeCell ref="G9:G10"/>
    <mergeCell ref="Y11:Y12"/>
    <mergeCell ref="D12:E12"/>
    <mergeCell ref="R11:R12"/>
    <mergeCell ref="P9:P10"/>
    <mergeCell ref="Q9:Q10"/>
    <mergeCell ref="V14:Y14"/>
    <mergeCell ref="X9:X10"/>
    <mergeCell ref="Y9:Y10"/>
    <mergeCell ref="A11:G11"/>
    <mergeCell ref="H11:H12"/>
    <mergeCell ref="I11:I12"/>
    <mergeCell ref="J11:J12"/>
    <mergeCell ref="K11:K12"/>
    <mergeCell ref="L11:L12"/>
    <mergeCell ref="M11:M12"/>
    <mergeCell ref="N11:N12"/>
    <mergeCell ref="O11:O12"/>
    <mergeCell ref="A14:T14"/>
    <mergeCell ref="W11:W12"/>
    <mergeCell ref="X11:X12"/>
    <mergeCell ref="A12:A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1"/>
  <sheetViews>
    <sheetView showGridLines="0" zoomScale="70" zoomScaleNormal="70" zoomScalePageLayoutView="85" workbookViewId="0">
      <selection activeCell="G20" sqref="G20"/>
    </sheetView>
  </sheetViews>
  <sheetFormatPr baseColWidth="10" defaultColWidth="10.85546875" defaultRowHeight="12.75" x14ac:dyDescent="0.2"/>
  <cols>
    <col min="1" max="1" width="23.140625" style="12" customWidth="1"/>
    <col min="2" max="2" width="26.85546875" style="12" customWidth="1"/>
    <col min="3" max="3" width="11" style="12" customWidth="1"/>
    <col min="4" max="4" width="10.85546875" style="12"/>
    <col min="5" max="5" width="15" style="12" customWidth="1"/>
    <col min="6" max="6" width="11" style="12" customWidth="1"/>
    <col min="7" max="7" width="13.7109375" style="12" customWidth="1"/>
    <col min="8" max="8" width="15.85546875" style="12" customWidth="1"/>
    <col min="9" max="9" width="24.28515625" style="12" customWidth="1"/>
    <col min="10" max="10" width="20.42578125" style="12" customWidth="1"/>
    <col min="11" max="11" width="16.85546875" style="12" customWidth="1"/>
    <col min="12" max="12" width="15.42578125" style="12" customWidth="1"/>
    <col min="13" max="13" width="10.85546875" style="12"/>
    <col min="14" max="14" width="11" style="12" customWidth="1"/>
    <col min="15" max="16" width="12" style="12" customWidth="1"/>
    <col min="17" max="17" width="12.28515625" style="12" customWidth="1"/>
    <col min="18" max="18" width="12" style="12" customWidth="1"/>
    <col min="19" max="19" width="13.5703125" style="12" customWidth="1"/>
    <col min="20" max="20" width="14.42578125" style="12" customWidth="1"/>
    <col min="21" max="21" width="13" style="12" customWidth="1"/>
    <col min="22" max="22" width="41.42578125" style="12" customWidth="1"/>
    <col min="23" max="24" width="33.7109375" style="12" customWidth="1"/>
    <col min="25" max="25" width="35.5703125" style="12" customWidth="1"/>
    <col min="26" max="16384" width="10.85546875" style="12"/>
  </cols>
  <sheetData>
    <row r="1" spans="1:25" ht="18.7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15.7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15.7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x14ac:dyDescent="0.2">
      <c r="A4" s="360" t="s">
        <v>26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ht="16.5" customHeight="1" x14ac:dyDescent="0.2">
      <c r="A5" s="360" t="s">
        <v>138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5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5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7"/>
    </row>
    <row r="8" spans="1:25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50"/>
      <c r="T8" s="50"/>
      <c r="U8" s="50"/>
      <c r="V8" s="344" t="s">
        <v>4</v>
      </c>
      <c r="W8" s="344"/>
      <c r="X8" s="344"/>
      <c r="Y8" s="344"/>
    </row>
    <row r="9" spans="1:25" ht="12.75" customHeight="1" x14ac:dyDescent="0.2">
      <c r="A9" s="341" t="s">
        <v>137</v>
      </c>
      <c r="B9" s="341" t="s">
        <v>362</v>
      </c>
      <c r="C9" s="343" t="s">
        <v>5</v>
      </c>
      <c r="D9" s="341" t="s">
        <v>408</v>
      </c>
      <c r="E9" s="341"/>
      <c r="F9" s="343" t="s">
        <v>5</v>
      </c>
      <c r="G9" s="341" t="s">
        <v>7</v>
      </c>
      <c r="H9" s="341" t="s">
        <v>8</v>
      </c>
      <c r="I9" s="341"/>
      <c r="J9" s="341"/>
      <c r="K9" s="341"/>
      <c r="L9" s="341"/>
      <c r="M9" s="341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327" t="s">
        <v>11</v>
      </c>
      <c r="W9" s="327" t="s">
        <v>107</v>
      </c>
      <c r="X9" s="327" t="s">
        <v>13</v>
      </c>
      <c r="Y9" s="327" t="s">
        <v>14</v>
      </c>
    </row>
    <row r="10" spans="1:25" ht="38.25" customHeight="1" x14ac:dyDescent="0.2">
      <c r="A10" s="341"/>
      <c r="B10" s="341"/>
      <c r="C10" s="343"/>
      <c r="D10" s="341"/>
      <c r="E10" s="341"/>
      <c r="F10" s="343"/>
      <c r="G10" s="341"/>
      <c r="H10" s="50" t="s">
        <v>47</v>
      </c>
      <c r="I10" s="58" t="s">
        <v>46</v>
      </c>
      <c r="J10" s="58" t="s">
        <v>51</v>
      </c>
      <c r="K10" s="50" t="s">
        <v>35</v>
      </c>
      <c r="L10" s="58" t="s">
        <v>52</v>
      </c>
      <c r="M10" s="58" t="s">
        <v>56</v>
      </c>
      <c r="N10" s="343"/>
      <c r="O10" s="327"/>
      <c r="P10" s="327"/>
      <c r="Q10" s="327"/>
      <c r="R10" s="327"/>
      <c r="S10" s="343"/>
      <c r="T10" s="343"/>
      <c r="U10" s="343"/>
      <c r="V10" s="328"/>
      <c r="W10" s="328"/>
      <c r="X10" s="328"/>
      <c r="Y10" s="328"/>
    </row>
    <row r="11" spans="1:25" s="1" customFormat="1" x14ac:dyDescent="0.2">
      <c r="A11" s="329" t="s">
        <v>207</v>
      </c>
      <c r="B11" s="329"/>
      <c r="C11" s="329"/>
      <c r="D11" s="329"/>
      <c r="E11" s="329"/>
      <c r="F11" s="329"/>
      <c r="G11" s="329"/>
      <c r="H11" s="330" t="s">
        <v>229</v>
      </c>
      <c r="I11" s="330" t="s">
        <v>348</v>
      </c>
      <c r="J11" s="330" t="s">
        <v>39</v>
      </c>
      <c r="K11" s="330" t="s">
        <v>230</v>
      </c>
      <c r="L11" s="330" t="s">
        <v>34</v>
      </c>
      <c r="M11" s="369">
        <v>10</v>
      </c>
      <c r="N11" s="333">
        <v>5.0000000000000001E-3</v>
      </c>
      <c r="O11" s="369"/>
      <c r="P11" s="330"/>
      <c r="Q11" s="377"/>
      <c r="R11" s="377"/>
      <c r="S11" s="342">
        <f>IFERROR(AVERAGE(O11:R12)/M11,0%)</f>
        <v>0</v>
      </c>
      <c r="T11" s="361">
        <f>IF(S11&lt;=100%,S11*N11,N11)</f>
        <v>0</v>
      </c>
      <c r="U11" s="362">
        <f>(T11/C21)*100</f>
        <v>0</v>
      </c>
      <c r="V11" s="364"/>
      <c r="W11" s="364"/>
      <c r="X11" s="359"/>
      <c r="Y11" s="359"/>
    </row>
    <row r="12" spans="1:25" s="1" customFormat="1" ht="63.75" x14ac:dyDescent="0.2">
      <c r="A12" s="375" t="str">
        <f>+'Plan de desarrollo'!B4</f>
        <v>DIMENSIÓN 1: Creemos en la cultura ciudadana</v>
      </c>
      <c r="B12" s="376" t="str">
        <f>'Objetivos Estratégicos'!B7</f>
        <v xml:space="preserve">Incrementar el nivel de eficiencia y eficacia operativa y administrativa en la gestión y ejecución de los procesos. </v>
      </c>
      <c r="C12" s="333">
        <f>+F12</f>
        <v>1.9999999966629999E-2</v>
      </c>
      <c r="D12" s="330" t="s">
        <v>228</v>
      </c>
      <c r="E12" s="330"/>
      <c r="F12" s="372">
        <f>+SUM(N11:N17)</f>
        <v>1.9999999966629999E-2</v>
      </c>
      <c r="G12" s="205" t="s">
        <v>387</v>
      </c>
      <c r="H12" s="331"/>
      <c r="I12" s="331"/>
      <c r="J12" s="331"/>
      <c r="K12" s="331"/>
      <c r="L12" s="331"/>
      <c r="M12" s="370"/>
      <c r="N12" s="331"/>
      <c r="O12" s="371"/>
      <c r="P12" s="330"/>
      <c r="Q12" s="377"/>
      <c r="R12" s="377"/>
      <c r="S12" s="342"/>
      <c r="T12" s="361"/>
      <c r="U12" s="363"/>
      <c r="V12" s="365"/>
      <c r="W12" s="365"/>
      <c r="X12" s="359"/>
      <c r="Y12" s="359"/>
    </row>
    <row r="13" spans="1:25" s="1" customFormat="1" ht="76.5" x14ac:dyDescent="0.2">
      <c r="A13" s="375"/>
      <c r="B13" s="376"/>
      <c r="C13" s="333"/>
      <c r="D13" s="330" t="s">
        <v>424</v>
      </c>
      <c r="E13" s="330"/>
      <c r="F13" s="373"/>
      <c r="G13" s="47" t="s">
        <v>227</v>
      </c>
      <c r="H13" s="47" t="s">
        <v>231</v>
      </c>
      <c r="I13" s="47" t="s">
        <v>401</v>
      </c>
      <c r="J13" s="47" t="s">
        <v>39</v>
      </c>
      <c r="K13" s="47" t="s">
        <v>423</v>
      </c>
      <c r="L13" s="103" t="s">
        <v>34</v>
      </c>
      <c r="M13" s="283">
        <v>1</v>
      </c>
      <c r="N13" s="48">
        <v>2.5000000000000001E-3</v>
      </c>
      <c r="O13" s="225"/>
      <c r="P13" s="225"/>
      <c r="Q13" s="31"/>
      <c r="R13" s="31"/>
      <c r="S13" s="48">
        <f>IF(SUM(O13:R13)&gt;=M13,100%,((SUM(O13:R13))/M13))</f>
        <v>0</v>
      </c>
      <c r="T13" s="48">
        <f>IF(S13&lt;=100%,S13*N13,N13)</f>
        <v>0</v>
      </c>
      <c r="U13" s="66">
        <f>(T13/C21)*100</f>
        <v>0</v>
      </c>
      <c r="V13" s="138"/>
      <c r="W13" s="138"/>
      <c r="X13" s="241"/>
      <c r="Y13" s="186"/>
    </row>
    <row r="14" spans="1:25" ht="51" x14ac:dyDescent="0.2">
      <c r="A14" s="375"/>
      <c r="B14" s="376"/>
      <c r="C14" s="333"/>
      <c r="D14" s="367" t="s">
        <v>27</v>
      </c>
      <c r="E14" s="368"/>
      <c r="F14" s="373"/>
      <c r="G14" s="59" t="s">
        <v>227</v>
      </c>
      <c r="H14" s="47" t="s">
        <v>37</v>
      </c>
      <c r="I14" s="136" t="s">
        <v>320</v>
      </c>
      <c r="J14" s="47" t="s">
        <v>36</v>
      </c>
      <c r="K14" s="47" t="s">
        <v>94</v>
      </c>
      <c r="L14" s="103" t="s">
        <v>34</v>
      </c>
      <c r="M14" s="30">
        <v>1</v>
      </c>
      <c r="N14" s="48">
        <v>2.5000000000000001E-3</v>
      </c>
      <c r="O14" s="30"/>
      <c r="P14" s="30"/>
      <c r="Q14" s="31"/>
      <c r="R14" s="31"/>
      <c r="S14" s="48">
        <f>SUM(O14:R14)/M14</f>
        <v>0</v>
      </c>
      <c r="T14" s="48">
        <f>IF(S14&lt;=100%,S14*N14,N14)</f>
        <v>0</v>
      </c>
      <c r="U14" s="268">
        <f>(T14/C21)*100</f>
        <v>0</v>
      </c>
      <c r="V14" s="138"/>
      <c r="W14" s="231"/>
      <c r="X14" s="51"/>
      <c r="Y14" s="49"/>
    </row>
    <row r="15" spans="1:25" ht="51" x14ac:dyDescent="0.2">
      <c r="A15" s="375"/>
      <c r="B15" s="376"/>
      <c r="C15" s="333"/>
      <c r="D15" s="367" t="s">
        <v>314</v>
      </c>
      <c r="E15" s="368"/>
      <c r="F15" s="373"/>
      <c r="G15" s="59" t="s">
        <v>227</v>
      </c>
      <c r="H15" s="47" t="s">
        <v>119</v>
      </c>
      <c r="I15" s="63" t="s">
        <v>120</v>
      </c>
      <c r="J15" s="47" t="s">
        <v>36</v>
      </c>
      <c r="K15" s="47" t="s">
        <v>122</v>
      </c>
      <c r="L15" s="103" t="s">
        <v>34</v>
      </c>
      <c r="M15" s="30">
        <v>1</v>
      </c>
      <c r="N15" s="48">
        <v>3.3333333333E-3</v>
      </c>
      <c r="O15" s="30"/>
      <c r="P15" s="30"/>
      <c r="Q15" s="31"/>
      <c r="R15" s="31"/>
      <c r="S15" s="48">
        <f>SUM(O15:R15)/M15</f>
        <v>0</v>
      </c>
      <c r="T15" s="48">
        <f>IF(S15&lt;=100%,S15*N15,N15)</f>
        <v>0</v>
      </c>
      <c r="U15" s="268">
        <f>(T15/C21)*100</f>
        <v>0</v>
      </c>
      <c r="V15" s="227"/>
      <c r="W15" s="104"/>
      <c r="X15" s="168"/>
      <c r="Y15" s="49"/>
    </row>
    <row r="16" spans="1:25" ht="51" x14ac:dyDescent="0.2">
      <c r="A16" s="375"/>
      <c r="B16" s="376"/>
      <c r="C16" s="333"/>
      <c r="D16" s="367" t="s">
        <v>347</v>
      </c>
      <c r="E16" s="368"/>
      <c r="F16" s="373"/>
      <c r="G16" s="59" t="s">
        <v>227</v>
      </c>
      <c r="H16" s="47" t="s">
        <v>123</v>
      </c>
      <c r="I16" s="63" t="s">
        <v>121</v>
      </c>
      <c r="J16" s="47" t="s">
        <v>36</v>
      </c>
      <c r="K16" s="47" t="s">
        <v>122</v>
      </c>
      <c r="L16" s="103" t="s">
        <v>34</v>
      </c>
      <c r="M16" s="30">
        <v>0.9</v>
      </c>
      <c r="N16" s="48">
        <v>3.3333333333299998E-3</v>
      </c>
      <c r="O16" s="30"/>
      <c r="P16" s="30"/>
      <c r="Q16" s="31"/>
      <c r="R16" s="31"/>
      <c r="S16" s="48">
        <f>SUM(O16:R16)/M16</f>
        <v>0</v>
      </c>
      <c r="T16" s="48">
        <f>IF(S16&lt;=100%,S16*N16,N16)</f>
        <v>0</v>
      </c>
      <c r="U16" s="268">
        <f>(T16/C21)*100</f>
        <v>0</v>
      </c>
      <c r="V16" s="226"/>
      <c r="W16" s="138"/>
      <c r="X16" s="168"/>
      <c r="Y16" s="49"/>
    </row>
    <row r="17" spans="1:25" ht="51" x14ac:dyDescent="0.2">
      <c r="A17" s="375"/>
      <c r="B17" s="376"/>
      <c r="C17" s="333"/>
      <c r="D17" s="367" t="s">
        <v>409</v>
      </c>
      <c r="E17" s="368"/>
      <c r="F17" s="374"/>
      <c r="G17" s="59" t="s">
        <v>227</v>
      </c>
      <c r="H17" s="47" t="s">
        <v>403</v>
      </c>
      <c r="I17" s="63" t="s">
        <v>402</v>
      </c>
      <c r="J17" s="47" t="s">
        <v>38</v>
      </c>
      <c r="K17" s="47" t="s">
        <v>403</v>
      </c>
      <c r="L17" s="103" t="s">
        <v>34</v>
      </c>
      <c r="M17" s="30">
        <v>1</v>
      </c>
      <c r="N17" s="48">
        <v>3.3333333000000001E-3</v>
      </c>
      <c r="O17" s="30"/>
      <c r="P17" s="30"/>
      <c r="Q17" s="31"/>
      <c r="R17" s="31"/>
      <c r="S17" s="48">
        <f>SUM(O17:R17)/M17</f>
        <v>0</v>
      </c>
      <c r="T17" s="48">
        <f>IF(S17&lt;=100%,S17*N17,N17)</f>
        <v>0</v>
      </c>
      <c r="U17" s="268">
        <f>(T17/C21)*100</f>
        <v>0</v>
      </c>
      <c r="V17" s="138"/>
      <c r="W17" s="138"/>
      <c r="X17" s="168"/>
      <c r="Y17" s="186"/>
    </row>
    <row r="18" spans="1:25" ht="17.25" customHeight="1" x14ac:dyDescent="0.2">
      <c r="A18" s="366" t="s">
        <v>16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262">
        <f>SUM(U11:U17)</f>
        <v>0</v>
      </c>
      <c r="V18" s="348"/>
      <c r="W18" s="348"/>
      <c r="X18" s="348"/>
      <c r="Y18" s="348"/>
    </row>
    <row r="20" spans="1:25" ht="36" x14ac:dyDescent="0.2">
      <c r="C20" s="97">
        <f>+C12</f>
        <v>1.9999999966629999E-2</v>
      </c>
      <c r="T20" s="97"/>
      <c r="Y20" s="116" t="s">
        <v>313</v>
      </c>
    </row>
    <row r="21" spans="1:25" x14ac:dyDescent="0.2">
      <c r="C21" s="12">
        <f>C20*100</f>
        <v>1.999999996663</v>
      </c>
    </row>
  </sheetData>
  <mergeCells count="59">
    <mergeCell ref="D13:E13"/>
    <mergeCell ref="Q11:Q12"/>
    <mergeCell ref="R11:R12"/>
    <mergeCell ref="S11:S12"/>
    <mergeCell ref="T11:T12"/>
    <mergeCell ref="L11:L12"/>
    <mergeCell ref="G9:G10"/>
    <mergeCell ref="S9:S10"/>
    <mergeCell ref="M11:M12"/>
    <mergeCell ref="N11:N12"/>
    <mergeCell ref="O11:O12"/>
    <mergeCell ref="P11:P12"/>
    <mergeCell ref="A11:G11"/>
    <mergeCell ref="H11:H12"/>
    <mergeCell ref="I11:I12"/>
    <mergeCell ref="J11:J12"/>
    <mergeCell ref="K11:K12"/>
    <mergeCell ref="F12:F17"/>
    <mergeCell ref="D12:E12"/>
    <mergeCell ref="A12:A17"/>
    <mergeCell ref="B12:B17"/>
    <mergeCell ref="C12:C17"/>
    <mergeCell ref="A1:D3"/>
    <mergeCell ref="A5:Y5"/>
    <mergeCell ref="A6:Y6"/>
    <mergeCell ref="A8:N8"/>
    <mergeCell ref="A4:Y4"/>
    <mergeCell ref="O8:R8"/>
    <mergeCell ref="V8:Y8"/>
    <mergeCell ref="E1:Y3"/>
    <mergeCell ref="A7:Y7"/>
    <mergeCell ref="P9:P10"/>
    <mergeCell ref="A18:T18"/>
    <mergeCell ref="D15:E15"/>
    <mergeCell ref="D17:E17"/>
    <mergeCell ref="D16:E16"/>
    <mergeCell ref="D14:E14"/>
    <mergeCell ref="A9:A10"/>
    <mergeCell ref="H9:M9"/>
    <mergeCell ref="D9:E10"/>
    <mergeCell ref="F9:F10"/>
    <mergeCell ref="B9:B10"/>
    <mergeCell ref="C9:C10"/>
    <mergeCell ref="N9:N10"/>
    <mergeCell ref="O9:O10"/>
    <mergeCell ref="Q9:Q10"/>
    <mergeCell ref="R9:R10"/>
    <mergeCell ref="T9:T10"/>
    <mergeCell ref="V18:Y18"/>
    <mergeCell ref="Y9:Y10"/>
    <mergeCell ref="W9:W10"/>
    <mergeCell ref="U11:U12"/>
    <mergeCell ref="X9:X10"/>
    <mergeCell ref="U9:U10"/>
    <mergeCell ref="V9:V10"/>
    <mergeCell ref="W11:W12"/>
    <mergeCell ref="X11:X12"/>
    <mergeCell ref="Y11:Y12"/>
    <mergeCell ref="V11:V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52"/>
  <sheetViews>
    <sheetView showGridLines="0" zoomScale="70" zoomScaleNormal="70" zoomScalePageLayoutView="70" workbookViewId="0">
      <selection activeCell="L28" sqref="L28"/>
    </sheetView>
  </sheetViews>
  <sheetFormatPr baseColWidth="10" defaultColWidth="10.85546875" defaultRowHeight="12.75" x14ac:dyDescent="0.2"/>
  <cols>
    <col min="1" max="1" width="24.140625" style="12" customWidth="1"/>
    <col min="2" max="2" width="21.7109375" style="12" customWidth="1"/>
    <col min="3" max="3" width="18" style="12" customWidth="1"/>
    <col min="4" max="4" width="11.5703125" style="12" customWidth="1"/>
    <col min="5" max="5" width="16" style="12" customWidth="1"/>
    <col min="6" max="6" width="18.5703125" style="12" bestFit="1" customWidth="1"/>
    <col min="7" max="7" width="18.85546875" style="12" customWidth="1"/>
    <col min="8" max="8" width="24.85546875" style="12" customWidth="1"/>
    <col min="9" max="9" width="28.42578125" style="12" customWidth="1"/>
    <col min="10" max="10" width="12.28515625" style="12" customWidth="1"/>
    <col min="11" max="11" width="20.85546875" style="12" customWidth="1"/>
    <col min="12" max="12" width="13.5703125" style="12" bestFit="1" customWidth="1"/>
    <col min="13" max="13" width="10.42578125" style="12" customWidth="1"/>
    <col min="14" max="14" width="18.5703125" style="12" bestFit="1" customWidth="1"/>
    <col min="15" max="26" width="14.42578125" style="12" customWidth="1"/>
    <col min="27" max="27" width="16.42578125" style="12" customWidth="1"/>
    <col min="28" max="28" width="14.85546875" style="12" customWidth="1"/>
    <col min="29" max="29" width="14.140625" style="12" customWidth="1"/>
    <col min="30" max="30" width="45.7109375" style="12" customWidth="1"/>
    <col min="31" max="31" width="48.7109375" style="12" customWidth="1"/>
    <col min="32" max="32" width="43.28515625" style="12" customWidth="1"/>
    <col min="33" max="33" width="45.7109375" style="12" customWidth="1"/>
    <col min="34" max="16384" width="10.85546875" style="12"/>
  </cols>
  <sheetData>
    <row r="1" spans="1:33" ht="13.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1"/>
    </row>
    <row r="2" spans="1:33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4"/>
    </row>
    <row r="3" spans="1:33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7"/>
    </row>
    <row r="4" spans="1:33" ht="15.75" customHeight="1" x14ac:dyDescent="0.2">
      <c r="A4" s="360" t="s">
        <v>108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</row>
    <row r="5" spans="1:33" ht="15" customHeight="1" x14ac:dyDescent="0.2">
      <c r="A5" s="360" t="s">
        <v>113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>
        <f>SUM(AB13:AB43)</f>
        <v>0</v>
      </c>
      <c r="AE5" s="360"/>
      <c r="AF5" s="360"/>
      <c r="AG5" s="360"/>
    </row>
    <row r="6" spans="1:33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 t="e">
        <f>SUM(#REF!)</f>
        <v>#REF!</v>
      </c>
      <c r="AE6" s="360"/>
      <c r="AF6" s="360"/>
      <c r="AG6" s="360"/>
    </row>
    <row r="7" spans="1:33" ht="15.75" customHeight="1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</row>
    <row r="8" spans="1:33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109"/>
      <c r="AB8" s="109"/>
      <c r="AC8" s="109"/>
      <c r="AD8" s="344" t="s">
        <v>4</v>
      </c>
      <c r="AE8" s="344"/>
      <c r="AF8" s="344"/>
      <c r="AG8" s="344"/>
    </row>
    <row r="9" spans="1:33" ht="12.75" customHeight="1" x14ac:dyDescent="0.2">
      <c r="A9" s="341" t="s">
        <v>137</v>
      </c>
      <c r="B9" s="341" t="s">
        <v>362</v>
      </c>
      <c r="C9" s="343" t="s">
        <v>5</v>
      </c>
      <c r="D9" s="341" t="s">
        <v>408</v>
      </c>
      <c r="E9" s="341"/>
      <c r="F9" s="343" t="s">
        <v>5</v>
      </c>
      <c r="G9" s="341" t="s">
        <v>7</v>
      </c>
      <c r="H9" s="437" t="s">
        <v>45</v>
      </c>
      <c r="I9" s="437"/>
      <c r="J9" s="437"/>
      <c r="K9" s="437"/>
      <c r="L9" s="437"/>
      <c r="M9" s="437"/>
      <c r="N9" s="343" t="s">
        <v>5</v>
      </c>
      <c r="O9" s="327" t="s">
        <v>372</v>
      </c>
      <c r="P9" s="327" t="s">
        <v>373</v>
      </c>
      <c r="Q9" s="327" t="s">
        <v>374</v>
      </c>
      <c r="R9" s="327" t="s">
        <v>375</v>
      </c>
      <c r="S9" s="327" t="s">
        <v>376</v>
      </c>
      <c r="T9" s="327" t="s">
        <v>377</v>
      </c>
      <c r="U9" s="327" t="s">
        <v>378</v>
      </c>
      <c r="V9" s="327" t="s">
        <v>379</v>
      </c>
      <c r="W9" s="327" t="s">
        <v>380</v>
      </c>
      <c r="X9" s="327" t="s">
        <v>381</v>
      </c>
      <c r="Y9" s="327" t="s">
        <v>382</v>
      </c>
      <c r="Z9" s="327" t="s">
        <v>383</v>
      </c>
      <c r="AA9" s="343" t="s">
        <v>412</v>
      </c>
      <c r="AB9" s="343" t="s">
        <v>9</v>
      </c>
      <c r="AC9" s="343" t="s">
        <v>10</v>
      </c>
      <c r="AD9" s="327" t="s">
        <v>11</v>
      </c>
      <c r="AE9" s="327" t="s">
        <v>12</v>
      </c>
      <c r="AF9" s="327" t="s">
        <v>13</v>
      </c>
      <c r="AG9" s="327" t="s">
        <v>14</v>
      </c>
    </row>
    <row r="10" spans="1:33" ht="41.25" customHeight="1" x14ac:dyDescent="0.2">
      <c r="A10" s="341"/>
      <c r="B10" s="341"/>
      <c r="C10" s="343"/>
      <c r="D10" s="341"/>
      <c r="E10" s="341"/>
      <c r="F10" s="343"/>
      <c r="G10" s="341"/>
      <c r="H10" s="43" t="s">
        <v>47</v>
      </c>
      <c r="I10" s="114" t="s">
        <v>46</v>
      </c>
      <c r="J10" s="114" t="s">
        <v>51</v>
      </c>
      <c r="K10" s="43" t="s">
        <v>35</v>
      </c>
      <c r="L10" s="114" t="s">
        <v>52</v>
      </c>
      <c r="M10" s="43" t="s">
        <v>65</v>
      </c>
      <c r="N10" s="343"/>
      <c r="O10" s="328"/>
      <c r="P10" s="328"/>
      <c r="Q10" s="328"/>
      <c r="R10" s="328"/>
      <c r="S10" s="328"/>
      <c r="T10" s="327"/>
      <c r="U10" s="327"/>
      <c r="V10" s="327"/>
      <c r="W10" s="328"/>
      <c r="X10" s="328"/>
      <c r="Y10" s="328"/>
      <c r="Z10" s="328"/>
      <c r="AA10" s="343"/>
      <c r="AB10" s="343"/>
      <c r="AC10" s="343"/>
      <c r="AD10" s="328"/>
      <c r="AE10" s="327"/>
      <c r="AF10" s="328"/>
      <c r="AG10" s="328"/>
    </row>
    <row r="11" spans="1:33" ht="15.75" customHeight="1" x14ac:dyDescent="0.2">
      <c r="A11" s="329" t="s">
        <v>153</v>
      </c>
      <c r="B11" s="329"/>
      <c r="C11" s="329"/>
      <c r="D11" s="329"/>
      <c r="E11" s="329"/>
      <c r="F11" s="329"/>
      <c r="G11" s="329"/>
      <c r="H11" s="330" t="s">
        <v>331</v>
      </c>
      <c r="I11" s="330" t="s">
        <v>321</v>
      </c>
      <c r="J11" s="330" t="s">
        <v>36</v>
      </c>
      <c r="K11" s="330" t="s">
        <v>322</v>
      </c>
      <c r="L11" s="330" t="s">
        <v>34</v>
      </c>
      <c r="M11" s="435">
        <v>1.5</v>
      </c>
      <c r="N11" s="333">
        <v>0.02</v>
      </c>
      <c r="O11" s="330"/>
      <c r="P11" s="330"/>
      <c r="Q11" s="330"/>
      <c r="R11" s="377"/>
      <c r="S11" s="377"/>
      <c r="T11" s="377"/>
      <c r="U11" s="377"/>
      <c r="V11" s="377"/>
      <c r="W11" s="377"/>
      <c r="X11" s="377"/>
      <c r="Y11" s="377"/>
      <c r="Z11" s="377"/>
      <c r="AA11" s="398">
        <f>IFERROR(AVERAGE(O11:Z12)/M11,0)</f>
        <v>0</v>
      </c>
      <c r="AB11" s="372">
        <f>IF(AA11&lt;=100%,AA11*N11,N11)</f>
        <v>0</v>
      </c>
      <c r="AC11" s="333">
        <f>(AB11/C48)*100</f>
        <v>0</v>
      </c>
      <c r="AD11" s="380"/>
      <c r="AE11" s="434"/>
      <c r="AF11" s="434"/>
      <c r="AG11" s="359"/>
    </row>
    <row r="12" spans="1:33" ht="89.25" x14ac:dyDescent="0.2">
      <c r="A12" s="111" t="s">
        <v>128</v>
      </c>
      <c r="B12" s="112" t="s">
        <v>24</v>
      </c>
      <c r="C12" s="107">
        <f>+F12</f>
        <v>0.02</v>
      </c>
      <c r="D12" s="330" t="s">
        <v>329</v>
      </c>
      <c r="E12" s="330"/>
      <c r="F12" s="107">
        <f>+N11</f>
        <v>0.02</v>
      </c>
      <c r="G12" s="105" t="s">
        <v>67</v>
      </c>
      <c r="H12" s="331"/>
      <c r="I12" s="331"/>
      <c r="J12" s="331"/>
      <c r="K12" s="331"/>
      <c r="L12" s="331"/>
      <c r="M12" s="436"/>
      <c r="N12" s="331"/>
      <c r="O12" s="330"/>
      <c r="P12" s="330"/>
      <c r="Q12" s="330"/>
      <c r="R12" s="377"/>
      <c r="S12" s="377"/>
      <c r="T12" s="377"/>
      <c r="U12" s="377"/>
      <c r="V12" s="377"/>
      <c r="W12" s="377"/>
      <c r="X12" s="377"/>
      <c r="Y12" s="377"/>
      <c r="Z12" s="377"/>
      <c r="AA12" s="399"/>
      <c r="AB12" s="374"/>
      <c r="AC12" s="333"/>
      <c r="AD12" s="381"/>
      <c r="AE12" s="434"/>
      <c r="AF12" s="434"/>
      <c r="AG12" s="359"/>
    </row>
    <row r="13" spans="1:33" x14ac:dyDescent="0.2">
      <c r="A13" s="329" t="s">
        <v>159</v>
      </c>
      <c r="B13" s="329"/>
      <c r="C13" s="329"/>
      <c r="D13" s="329"/>
      <c r="E13" s="329"/>
      <c r="F13" s="329"/>
      <c r="G13" s="329"/>
      <c r="H13" s="330" t="s">
        <v>142</v>
      </c>
      <c r="I13" s="330" t="s">
        <v>154</v>
      </c>
      <c r="J13" s="330" t="s">
        <v>39</v>
      </c>
      <c r="K13" s="330" t="s">
        <v>66</v>
      </c>
      <c r="L13" s="330" t="s">
        <v>34</v>
      </c>
      <c r="M13" s="432">
        <v>2288</v>
      </c>
      <c r="N13" s="333">
        <v>0.05</v>
      </c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98">
        <f>SUM(O13:Z14)/M13</f>
        <v>0</v>
      </c>
      <c r="AB13" s="372">
        <f>IF(AA13&lt;=100%,AA13*N13,N13)</f>
        <v>0</v>
      </c>
      <c r="AC13" s="333">
        <f>(SUM(AB13:AB16)/C48)*100</f>
        <v>0</v>
      </c>
      <c r="AD13" s="430"/>
      <c r="AE13" s="423"/>
      <c r="AF13" s="359"/>
      <c r="AG13" s="359"/>
    </row>
    <row r="14" spans="1:33" ht="24.75" customHeight="1" x14ac:dyDescent="0.2">
      <c r="A14" s="375" t="s">
        <v>128</v>
      </c>
      <c r="B14" s="376" t="s">
        <v>24</v>
      </c>
      <c r="C14" s="418">
        <f>+F14</f>
        <v>9.0000000000000011E-2</v>
      </c>
      <c r="D14" s="330" t="s">
        <v>62</v>
      </c>
      <c r="E14" s="330"/>
      <c r="F14" s="418">
        <f>+SUM(N13:N16)</f>
        <v>9.0000000000000011E-2</v>
      </c>
      <c r="G14" s="330" t="s">
        <v>67</v>
      </c>
      <c r="H14" s="330"/>
      <c r="I14" s="330"/>
      <c r="J14" s="330"/>
      <c r="K14" s="330"/>
      <c r="L14" s="330"/>
      <c r="M14" s="432"/>
      <c r="N14" s="333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98"/>
      <c r="AB14" s="374"/>
      <c r="AC14" s="333"/>
      <c r="AD14" s="431"/>
      <c r="AE14" s="423"/>
      <c r="AF14" s="359"/>
      <c r="AG14" s="359"/>
    </row>
    <row r="15" spans="1:33" ht="63.75" x14ac:dyDescent="0.2">
      <c r="A15" s="375"/>
      <c r="B15" s="376"/>
      <c r="C15" s="418"/>
      <c r="D15" s="330"/>
      <c r="E15" s="330"/>
      <c r="F15" s="418"/>
      <c r="G15" s="330"/>
      <c r="H15" s="141" t="s">
        <v>330</v>
      </c>
      <c r="I15" s="136" t="s">
        <v>324</v>
      </c>
      <c r="J15" s="105" t="s">
        <v>36</v>
      </c>
      <c r="K15" s="148" t="s">
        <v>323</v>
      </c>
      <c r="L15" s="105" t="s">
        <v>34</v>
      </c>
      <c r="M15" s="293">
        <v>0.6</v>
      </c>
      <c r="N15" s="107">
        <v>0.02</v>
      </c>
      <c r="O15" s="433"/>
      <c r="P15" s="433"/>
      <c r="Q15" s="433"/>
      <c r="R15" s="376"/>
      <c r="S15" s="376"/>
      <c r="T15" s="376"/>
      <c r="U15" s="422"/>
      <c r="V15" s="422"/>
      <c r="W15" s="422"/>
      <c r="X15" s="422"/>
      <c r="Y15" s="422"/>
      <c r="Z15" s="422"/>
      <c r="AA15" s="172">
        <f>IFERROR(AVERAGE(O15:Z15)/M15,0)</f>
        <v>0</v>
      </c>
      <c r="AB15" s="107">
        <f t="shared" ref="AB15:AB19" si="0">IF(AA15&lt;=100%,AA15*N15,N15)</f>
        <v>0</v>
      </c>
      <c r="AC15" s="333"/>
      <c r="AD15" s="312"/>
      <c r="AE15" s="41"/>
      <c r="AF15" s="171"/>
      <c r="AG15" s="137"/>
    </row>
    <row r="16" spans="1:33" ht="38.25" x14ac:dyDescent="0.2">
      <c r="A16" s="375"/>
      <c r="B16" s="376"/>
      <c r="C16" s="418"/>
      <c r="D16" s="330"/>
      <c r="E16" s="330"/>
      <c r="F16" s="418"/>
      <c r="G16" s="330"/>
      <c r="H16" s="105" t="s">
        <v>156</v>
      </c>
      <c r="I16" s="105" t="s">
        <v>157</v>
      </c>
      <c r="J16" s="105" t="s">
        <v>36</v>
      </c>
      <c r="K16" s="148" t="s">
        <v>155</v>
      </c>
      <c r="L16" s="105" t="s">
        <v>34</v>
      </c>
      <c r="M16" s="275">
        <v>2</v>
      </c>
      <c r="N16" s="107">
        <v>0.02</v>
      </c>
      <c r="O16" s="376"/>
      <c r="P16" s="376"/>
      <c r="Q16" s="376"/>
      <c r="R16" s="376"/>
      <c r="S16" s="376"/>
      <c r="T16" s="376"/>
      <c r="U16" s="422"/>
      <c r="V16" s="422"/>
      <c r="W16" s="422"/>
      <c r="X16" s="422"/>
      <c r="Y16" s="422"/>
      <c r="Z16" s="422"/>
      <c r="AA16" s="173">
        <f>SUM(O16:Z16)/M16</f>
        <v>0</v>
      </c>
      <c r="AB16" s="107">
        <f t="shared" si="0"/>
        <v>0</v>
      </c>
      <c r="AC16" s="333"/>
      <c r="AD16" s="312"/>
      <c r="AE16" s="75"/>
      <c r="AF16" s="75"/>
      <c r="AG16" s="137"/>
    </row>
    <row r="17" spans="1:33" ht="51" x14ac:dyDescent="0.2">
      <c r="A17" s="375"/>
      <c r="B17" s="376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17" s="418">
        <v>0.02</v>
      </c>
      <c r="D17" s="330" t="s">
        <v>164</v>
      </c>
      <c r="E17" s="330"/>
      <c r="F17" s="418">
        <v>0.02</v>
      </c>
      <c r="G17" s="330" t="s">
        <v>67</v>
      </c>
      <c r="H17" s="105" t="s">
        <v>167</v>
      </c>
      <c r="I17" s="105" t="s">
        <v>165</v>
      </c>
      <c r="J17" s="105" t="s">
        <v>36</v>
      </c>
      <c r="K17" s="148" t="s">
        <v>166</v>
      </c>
      <c r="L17" s="105" t="s">
        <v>34</v>
      </c>
      <c r="M17" s="283">
        <v>0.7</v>
      </c>
      <c r="N17" s="107">
        <v>0.01</v>
      </c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216">
        <f>IFERROR(AVERAGE(O17:Z17)/M17,0)</f>
        <v>0</v>
      </c>
      <c r="AB17" s="107">
        <f t="shared" si="0"/>
        <v>0</v>
      </c>
      <c r="AC17" s="333">
        <f>(SUM(AB17:AB18)/C48)*100</f>
        <v>0</v>
      </c>
      <c r="AD17" s="75"/>
      <c r="AE17" s="75"/>
      <c r="AF17" s="75"/>
      <c r="AG17" s="73"/>
    </row>
    <row r="18" spans="1:33" ht="51" x14ac:dyDescent="0.2">
      <c r="A18" s="375"/>
      <c r="B18" s="376"/>
      <c r="C18" s="418"/>
      <c r="D18" s="330"/>
      <c r="E18" s="330"/>
      <c r="F18" s="418"/>
      <c r="G18" s="330"/>
      <c r="H18" s="105" t="s">
        <v>168</v>
      </c>
      <c r="I18" s="105" t="s">
        <v>169</v>
      </c>
      <c r="J18" s="105" t="s">
        <v>36</v>
      </c>
      <c r="K18" s="148" t="s">
        <v>337</v>
      </c>
      <c r="L18" s="105" t="s">
        <v>34</v>
      </c>
      <c r="M18" s="283">
        <v>0.15</v>
      </c>
      <c r="N18" s="107">
        <v>0.01</v>
      </c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209">
        <f>IFERROR(AVERAGE(O18:Z18)/M18,0)</f>
        <v>0</v>
      </c>
      <c r="AB18" s="107">
        <f t="shared" si="0"/>
        <v>0</v>
      </c>
      <c r="AC18" s="333"/>
      <c r="AD18" s="35"/>
      <c r="AE18" s="35"/>
      <c r="AF18" s="35"/>
      <c r="AG18" s="35"/>
    </row>
    <row r="19" spans="1:33" x14ac:dyDescent="0.2">
      <c r="A19" s="329" t="s">
        <v>158</v>
      </c>
      <c r="B19" s="329"/>
      <c r="C19" s="329"/>
      <c r="D19" s="329"/>
      <c r="E19" s="329"/>
      <c r="F19" s="329"/>
      <c r="G19" s="329"/>
      <c r="H19" s="330" t="s">
        <v>160</v>
      </c>
      <c r="I19" s="330" t="s">
        <v>161</v>
      </c>
      <c r="J19" s="330" t="s">
        <v>39</v>
      </c>
      <c r="K19" s="330" t="s">
        <v>66</v>
      </c>
      <c r="L19" s="330" t="s">
        <v>34</v>
      </c>
      <c r="M19" s="432">
        <v>1664</v>
      </c>
      <c r="N19" s="333">
        <v>0.05</v>
      </c>
      <c r="O19" s="420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98">
        <f>SUM(O19:Z20)/M19</f>
        <v>0</v>
      </c>
      <c r="AB19" s="372">
        <f t="shared" si="0"/>
        <v>0</v>
      </c>
      <c r="AC19" s="333">
        <f>((SUM(AB19:AB22))/C48)*100</f>
        <v>0</v>
      </c>
      <c r="AD19" s="430"/>
      <c r="AE19" s="423"/>
      <c r="AF19" s="359"/>
      <c r="AG19" s="359"/>
    </row>
    <row r="20" spans="1:33" ht="23.25" customHeight="1" x14ac:dyDescent="0.2">
      <c r="A20" s="375" t="s">
        <v>128</v>
      </c>
      <c r="B20" s="383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20" s="418">
        <f>+F20</f>
        <v>9.0000000000000011E-2</v>
      </c>
      <c r="D20" s="330" t="s">
        <v>62</v>
      </c>
      <c r="E20" s="330"/>
      <c r="F20" s="418">
        <f>+SUM(N19:N22)</f>
        <v>9.0000000000000011E-2</v>
      </c>
      <c r="G20" s="330" t="s">
        <v>67</v>
      </c>
      <c r="H20" s="330"/>
      <c r="I20" s="330"/>
      <c r="J20" s="330"/>
      <c r="K20" s="330"/>
      <c r="L20" s="330"/>
      <c r="M20" s="432"/>
      <c r="N20" s="333"/>
      <c r="O20" s="420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98"/>
      <c r="AB20" s="374"/>
      <c r="AC20" s="333"/>
      <c r="AD20" s="431"/>
      <c r="AE20" s="423"/>
      <c r="AF20" s="359"/>
      <c r="AG20" s="359"/>
    </row>
    <row r="21" spans="1:33" ht="63.75" x14ac:dyDescent="0.2">
      <c r="A21" s="375"/>
      <c r="B21" s="384"/>
      <c r="C21" s="418"/>
      <c r="D21" s="330"/>
      <c r="E21" s="330"/>
      <c r="F21" s="418"/>
      <c r="G21" s="330"/>
      <c r="H21" s="141" t="s">
        <v>332</v>
      </c>
      <c r="I21" s="136" t="s">
        <v>325</v>
      </c>
      <c r="J21" s="105" t="s">
        <v>36</v>
      </c>
      <c r="K21" s="148" t="s">
        <v>326</v>
      </c>
      <c r="L21" s="105" t="s">
        <v>34</v>
      </c>
      <c r="M21" s="293">
        <v>1.8</v>
      </c>
      <c r="N21" s="107">
        <v>0.02</v>
      </c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172">
        <f>IFERROR(AVERAGE(O21:Z21)/M21,0)</f>
        <v>0</v>
      </c>
      <c r="AB21" s="107">
        <f t="shared" ref="AB21:AB26" si="1">IF(AA21&lt;=100%,AA21*N21,N21)</f>
        <v>0</v>
      </c>
      <c r="AC21" s="333"/>
      <c r="AD21" s="312"/>
      <c r="AE21" s="41"/>
      <c r="AF21" s="171"/>
      <c r="AG21" s="137"/>
    </row>
    <row r="22" spans="1:33" ht="25.5" x14ac:dyDescent="0.2">
      <c r="A22" s="375"/>
      <c r="B22" s="384"/>
      <c r="C22" s="418"/>
      <c r="D22" s="330"/>
      <c r="E22" s="330"/>
      <c r="F22" s="418"/>
      <c r="G22" s="330"/>
      <c r="H22" s="105" t="s">
        <v>162</v>
      </c>
      <c r="I22" s="105" t="s">
        <v>163</v>
      </c>
      <c r="J22" s="105" t="s">
        <v>36</v>
      </c>
      <c r="K22" s="148" t="s">
        <v>155</v>
      </c>
      <c r="L22" s="105" t="s">
        <v>34</v>
      </c>
      <c r="M22" s="275">
        <v>3</v>
      </c>
      <c r="N22" s="107">
        <v>0.02</v>
      </c>
      <c r="O22" s="376"/>
      <c r="P22" s="376"/>
      <c r="Q22" s="376"/>
      <c r="R22" s="376"/>
      <c r="S22" s="376"/>
      <c r="T22" s="376"/>
      <c r="U22" s="422"/>
      <c r="V22" s="422"/>
      <c r="W22" s="422"/>
      <c r="X22" s="422"/>
      <c r="Y22" s="422"/>
      <c r="Z22" s="422"/>
      <c r="AA22" s="173">
        <f>SUM(O22:Z22)/M22</f>
        <v>0</v>
      </c>
      <c r="AB22" s="107">
        <f t="shared" si="1"/>
        <v>0</v>
      </c>
      <c r="AC22" s="333"/>
      <c r="AD22" s="312"/>
      <c r="AE22" s="75"/>
      <c r="AF22" s="75"/>
      <c r="AG22" s="137"/>
    </row>
    <row r="23" spans="1:33" ht="38.25" x14ac:dyDescent="0.2">
      <c r="A23" s="375"/>
      <c r="B23" s="384"/>
      <c r="C23" s="418">
        <f>+F23</f>
        <v>0.02</v>
      </c>
      <c r="D23" s="330" t="s">
        <v>175</v>
      </c>
      <c r="E23" s="330"/>
      <c r="F23" s="418">
        <f>+SUM(N23:N25)</f>
        <v>0.02</v>
      </c>
      <c r="G23" s="330" t="s">
        <v>67</v>
      </c>
      <c r="H23" s="105" t="s">
        <v>170</v>
      </c>
      <c r="I23" s="105" t="s">
        <v>171</v>
      </c>
      <c r="J23" s="105" t="s">
        <v>36</v>
      </c>
      <c r="K23" s="148" t="s">
        <v>172</v>
      </c>
      <c r="L23" s="105" t="s">
        <v>34</v>
      </c>
      <c r="M23" s="283">
        <v>0.35</v>
      </c>
      <c r="N23" s="107">
        <v>0.01</v>
      </c>
      <c r="O23" s="415"/>
      <c r="P23" s="415"/>
      <c r="Q23" s="415"/>
      <c r="R23" s="417"/>
      <c r="S23" s="417"/>
      <c r="T23" s="417"/>
      <c r="U23" s="417"/>
      <c r="V23" s="417"/>
      <c r="W23" s="417"/>
      <c r="X23" s="417"/>
      <c r="Y23" s="417"/>
      <c r="Z23" s="417"/>
      <c r="AA23" s="201">
        <f>IFERROR(AVERAGE(O23:Z23)/M23,0)</f>
        <v>0</v>
      </c>
      <c r="AB23" s="107">
        <f t="shared" si="1"/>
        <v>0</v>
      </c>
      <c r="AC23" s="333">
        <f>(SUM(AB23:AB25)/C48)*100</f>
        <v>0</v>
      </c>
      <c r="AD23" s="35"/>
      <c r="AE23" s="35"/>
      <c r="AF23" s="35"/>
      <c r="AG23" s="73"/>
    </row>
    <row r="24" spans="1:33" ht="51" x14ac:dyDescent="0.2">
      <c r="A24" s="375"/>
      <c r="B24" s="384"/>
      <c r="C24" s="418"/>
      <c r="D24" s="330"/>
      <c r="E24" s="330"/>
      <c r="F24" s="418"/>
      <c r="G24" s="330"/>
      <c r="H24" s="105" t="s">
        <v>173</v>
      </c>
      <c r="I24" s="105" t="s">
        <v>174</v>
      </c>
      <c r="J24" s="105" t="s">
        <v>36</v>
      </c>
      <c r="K24" s="148" t="s">
        <v>338</v>
      </c>
      <c r="L24" s="105" t="s">
        <v>34</v>
      </c>
      <c r="M24" s="283">
        <v>0.15</v>
      </c>
      <c r="N24" s="107">
        <v>5.0000000000000001E-3</v>
      </c>
      <c r="O24" s="417"/>
      <c r="P24" s="417"/>
      <c r="Q24" s="417"/>
      <c r="R24" s="417"/>
      <c r="S24" s="417"/>
      <c r="T24" s="417"/>
      <c r="U24" s="424"/>
      <c r="V24" s="425"/>
      <c r="W24" s="426"/>
      <c r="X24" s="417"/>
      <c r="Y24" s="417"/>
      <c r="Z24" s="417"/>
      <c r="AA24" s="173">
        <f>IFERROR(AVERAGE(O24:Z24)/M24,0)</f>
        <v>0</v>
      </c>
      <c r="AB24" s="107">
        <f t="shared" si="1"/>
        <v>0</v>
      </c>
      <c r="AC24" s="333"/>
      <c r="AD24" s="35"/>
      <c r="AE24" s="35"/>
      <c r="AF24" s="35"/>
      <c r="AG24" s="73"/>
    </row>
    <row r="25" spans="1:33" ht="63.75" x14ac:dyDescent="0.2">
      <c r="A25" s="375"/>
      <c r="B25" s="384"/>
      <c r="C25" s="418"/>
      <c r="D25" s="330"/>
      <c r="E25" s="330"/>
      <c r="F25" s="418"/>
      <c r="G25" s="330"/>
      <c r="H25" s="105" t="s">
        <v>176</v>
      </c>
      <c r="I25" s="105" t="s">
        <v>177</v>
      </c>
      <c r="J25" s="105" t="s">
        <v>36</v>
      </c>
      <c r="K25" s="148" t="s">
        <v>339</v>
      </c>
      <c r="L25" s="105" t="s">
        <v>34</v>
      </c>
      <c r="M25" s="275">
        <v>1</v>
      </c>
      <c r="N25" s="228">
        <v>5.0000000000000001E-3</v>
      </c>
      <c r="O25" s="376"/>
      <c r="P25" s="376"/>
      <c r="Q25" s="376"/>
      <c r="R25" s="376"/>
      <c r="S25" s="376"/>
      <c r="T25" s="376"/>
      <c r="U25" s="427"/>
      <c r="V25" s="428"/>
      <c r="W25" s="429"/>
      <c r="X25" s="376"/>
      <c r="Y25" s="376"/>
      <c r="Z25" s="376"/>
      <c r="AA25" s="263">
        <f>+IF((SUM(O25:Z25)&gt;=M25),100%,(SUM(O25:Z25)/M25))</f>
        <v>0</v>
      </c>
      <c r="AB25" s="107">
        <f t="shared" si="1"/>
        <v>0</v>
      </c>
      <c r="AC25" s="333"/>
      <c r="AD25" s="313"/>
      <c r="AE25" s="35"/>
      <c r="AF25" s="35"/>
      <c r="AG25" s="73"/>
    </row>
    <row r="26" spans="1:33" x14ac:dyDescent="0.2">
      <c r="A26" s="329" t="s">
        <v>178</v>
      </c>
      <c r="B26" s="329"/>
      <c r="C26" s="329"/>
      <c r="D26" s="329"/>
      <c r="E26" s="329"/>
      <c r="F26" s="329"/>
      <c r="G26" s="329"/>
      <c r="H26" s="330" t="s">
        <v>179</v>
      </c>
      <c r="I26" s="330" t="s">
        <v>180</v>
      </c>
      <c r="J26" s="330" t="s">
        <v>39</v>
      </c>
      <c r="K26" s="330" t="s">
        <v>66</v>
      </c>
      <c r="L26" s="330" t="s">
        <v>34</v>
      </c>
      <c r="M26" s="420">
        <v>2080</v>
      </c>
      <c r="N26" s="333">
        <v>0.04</v>
      </c>
      <c r="O26" s="420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98">
        <f>SUM(O26:Z27)/M26</f>
        <v>0</v>
      </c>
      <c r="AB26" s="372">
        <f t="shared" si="1"/>
        <v>0</v>
      </c>
      <c r="AC26" s="333">
        <f>(SUM(AB26:AB29)/C48)*100</f>
        <v>0</v>
      </c>
      <c r="AD26" s="419"/>
      <c r="AE26" s="423"/>
      <c r="AF26" s="359"/>
      <c r="AG26" s="359"/>
    </row>
    <row r="27" spans="1:33" ht="22.5" customHeight="1" x14ac:dyDescent="0.2">
      <c r="A27" s="375" t="s">
        <v>128</v>
      </c>
      <c r="B27" s="383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27" s="418">
        <f>+F27</f>
        <v>0.08</v>
      </c>
      <c r="D27" s="330" t="s">
        <v>62</v>
      </c>
      <c r="E27" s="330"/>
      <c r="F27" s="418">
        <f>+SUM(N26:N29)</f>
        <v>0.08</v>
      </c>
      <c r="G27" s="330" t="s">
        <v>67</v>
      </c>
      <c r="H27" s="330"/>
      <c r="I27" s="330"/>
      <c r="J27" s="330"/>
      <c r="K27" s="330"/>
      <c r="L27" s="330"/>
      <c r="M27" s="420"/>
      <c r="N27" s="333"/>
      <c r="O27" s="420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98"/>
      <c r="AB27" s="374"/>
      <c r="AC27" s="333"/>
      <c r="AD27" s="419"/>
      <c r="AE27" s="423"/>
      <c r="AF27" s="359"/>
      <c r="AG27" s="359"/>
    </row>
    <row r="28" spans="1:33" ht="63.75" x14ac:dyDescent="0.2">
      <c r="A28" s="375"/>
      <c r="B28" s="384"/>
      <c r="C28" s="418"/>
      <c r="D28" s="330"/>
      <c r="E28" s="330"/>
      <c r="F28" s="418"/>
      <c r="G28" s="330"/>
      <c r="H28" s="141" t="s">
        <v>333</v>
      </c>
      <c r="I28" s="136" t="s">
        <v>327</v>
      </c>
      <c r="J28" s="105" t="s">
        <v>36</v>
      </c>
      <c r="K28" s="148" t="s">
        <v>328</v>
      </c>
      <c r="L28" s="105" t="s">
        <v>34</v>
      </c>
      <c r="M28" s="293">
        <v>1.8</v>
      </c>
      <c r="N28" s="107">
        <v>0.02</v>
      </c>
      <c r="O28" s="376"/>
      <c r="P28" s="376"/>
      <c r="Q28" s="376"/>
      <c r="R28" s="376"/>
      <c r="S28" s="376"/>
      <c r="T28" s="376"/>
      <c r="U28" s="421"/>
      <c r="V28" s="421"/>
      <c r="W28" s="421"/>
      <c r="X28" s="376"/>
      <c r="Y28" s="376"/>
      <c r="Z28" s="376"/>
      <c r="AA28" s="172">
        <f>IFERROR(AVERAGE(O28:Z28)/M28,0)</f>
        <v>0</v>
      </c>
      <c r="AB28" s="107">
        <f t="shared" ref="AB28:AB34" si="2">IF(AA28&lt;=100%,AA28*N28,N28)</f>
        <v>0</v>
      </c>
      <c r="AC28" s="333"/>
      <c r="AD28" s="312"/>
      <c r="AE28" s="41"/>
      <c r="AF28" s="171"/>
      <c r="AG28" s="137"/>
    </row>
    <row r="29" spans="1:33" ht="25.5" x14ac:dyDescent="0.2">
      <c r="A29" s="375"/>
      <c r="B29" s="384"/>
      <c r="C29" s="418"/>
      <c r="D29" s="330"/>
      <c r="E29" s="330"/>
      <c r="F29" s="418"/>
      <c r="G29" s="330"/>
      <c r="H29" s="105" t="s">
        <v>181</v>
      </c>
      <c r="I29" s="105" t="s">
        <v>182</v>
      </c>
      <c r="J29" s="105" t="s">
        <v>36</v>
      </c>
      <c r="K29" s="148" t="s">
        <v>155</v>
      </c>
      <c r="L29" s="105" t="s">
        <v>34</v>
      </c>
      <c r="M29" s="275">
        <v>2</v>
      </c>
      <c r="N29" s="107">
        <v>0.02</v>
      </c>
      <c r="O29" s="376"/>
      <c r="P29" s="376"/>
      <c r="Q29" s="376"/>
      <c r="R29" s="376"/>
      <c r="S29" s="376"/>
      <c r="T29" s="376"/>
      <c r="U29" s="422"/>
      <c r="V29" s="422"/>
      <c r="W29" s="422"/>
      <c r="X29" s="422"/>
      <c r="Y29" s="422"/>
      <c r="Z29" s="422"/>
      <c r="AA29" s="173">
        <f>+IF((SUM(O29:Z29)&gt;=M29),100%,(SUM(O29:Z29)/M29))</f>
        <v>0</v>
      </c>
      <c r="AB29" s="107">
        <f t="shared" si="2"/>
        <v>0</v>
      </c>
      <c r="AC29" s="333"/>
      <c r="AD29" s="75"/>
      <c r="AE29" s="75"/>
      <c r="AF29" s="75"/>
      <c r="AG29" s="75"/>
    </row>
    <row r="30" spans="1:33" ht="51" x14ac:dyDescent="0.2">
      <c r="A30" s="375"/>
      <c r="B30" s="384"/>
      <c r="C30" s="418">
        <f>+F30</f>
        <v>1.9999999999999997E-2</v>
      </c>
      <c r="D30" s="330" t="s">
        <v>175</v>
      </c>
      <c r="E30" s="330"/>
      <c r="F30" s="418">
        <f>+SUM(N30:N34)</f>
        <v>1.9999999999999997E-2</v>
      </c>
      <c r="G30" s="330" t="s">
        <v>67</v>
      </c>
      <c r="H30" s="105" t="s">
        <v>183</v>
      </c>
      <c r="I30" s="105" t="s">
        <v>184</v>
      </c>
      <c r="J30" s="105" t="s">
        <v>36</v>
      </c>
      <c r="K30" s="148" t="s">
        <v>185</v>
      </c>
      <c r="L30" s="105" t="s">
        <v>34</v>
      </c>
      <c r="M30" s="283">
        <v>0.3</v>
      </c>
      <c r="N30" s="107">
        <v>5.0000000000000001E-3</v>
      </c>
      <c r="O30" s="415"/>
      <c r="P30" s="415"/>
      <c r="Q30" s="415"/>
      <c r="R30" s="416"/>
      <c r="S30" s="416"/>
      <c r="T30" s="416"/>
      <c r="U30" s="417"/>
      <c r="V30" s="417"/>
      <c r="W30" s="417"/>
      <c r="X30" s="417"/>
      <c r="Y30" s="417"/>
      <c r="Z30" s="417"/>
      <c r="AA30" s="200">
        <f>IFERROR(AVERAGE(O30:Z30)/M30,0)</f>
        <v>0</v>
      </c>
      <c r="AB30" s="107">
        <f t="shared" si="2"/>
        <v>0</v>
      </c>
      <c r="AC30" s="333">
        <f>(SUM(AB30:AB34)/C48)*100</f>
        <v>0</v>
      </c>
      <c r="AD30" s="35"/>
      <c r="AE30" s="35"/>
      <c r="AF30" s="35"/>
      <c r="AG30" s="156"/>
    </row>
    <row r="31" spans="1:33" ht="51" x14ac:dyDescent="0.2">
      <c r="A31" s="375"/>
      <c r="B31" s="384"/>
      <c r="C31" s="418"/>
      <c r="D31" s="330"/>
      <c r="E31" s="330"/>
      <c r="F31" s="418"/>
      <c r="G31" s="330"/>
      <c r="H31" s="105" t="s">
        <v>186</v>
      </c>
      <c r="I31" s="105" t="s">
        <v>187</v>
      </c>
      <c r="J31" s="105" t="s">
        <v>36</v>
      </c>
      <c r="K31" s="148" t="s">
        <v>340</v>
      </c>
      <c r="L31" s="105" t="s">
        <v>34</v>
      </c>
      <c r="M31" s="283">
        <v>0.15</v>
      </c>
      <c r="N31" s="107">
        <v>5.0000000000000001E-3</v>
      </c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173">
        <f>IFERROR(AVERAGE(O31:Z31)/M31,0)</f>
        <v>0</v>
      </c>
      <c r="AB31" s="107">
        <f t="shared" si="2"/>
        <v>0</v>
      </c>
      <c r="AC31" s="333"/>
      <c r="AD31" s="35"/>
      <c r="AE31" s="35"/>
      <c r="AF31" s="35"/>
      <c r="AG31" s="156"/>
    </row>
    <row r="32" spans="1:33" ht="38.25" x14ac:dyDescent="0.2">
      <c r="A32" s="375"/>
      <c r="B32" s="384"/>
      <c r="C32" s="418"/>
      <c r="D32" s="330"/>
      <c r="E32" s="330"/>
      <c r="F32" s="418"/>
      <c r="G32" s="330"/>
      <c r="H32" s="105" t="s">
        <v>188</v>
      </c>
      <c r="I32" s="105" t="s">
        <v>349</v>
      </c>
      <c r="J32" s="105" t="s">
        <v>36</v>
      </c>
      <c r="K32" s="148" t="s">
        <v>422</v>
      </c>
      <c r="L32" s="105" t="s">
        <v>34</v>
      </c>
      <c r="M32" s="275">
        <v>4</v>
      </c>
      <c r="N32" s="228">
        <v>5.0000000000000001E-3</v>
      </c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173">
        <f>+IF((SUM(O32:Z32)&gt;=M32),100%,(SUM(O32:Z32)/M32))</f>
        <v>0</v>
      </c>
      <c r="AB32" s="107">
        <f t="shared" si="2"/>
        <v>0</v>
      </c>
      <c r="AC32" s="333"/>
      <c r="AD32" s="35"/>
      <c r="AE32" s="35"/>
      <c r="AF32" s="35"/>
      <c r="AG32" s="73"/>
    </row>
    <row r="33" spans="1:33" ht="51" x14ac:dyDescent="0.2">
      <c r="A33" s="375"/>
      <c r="B33" s="384"/>
      <c r="C33" s="418"/>
      <c r="D33" s="330"/>
      <c r="E33" s="330"/>
      <c r="F33" s="418"/>
      <c r="G33" s="330"/>
      <c r="H33" s="105" t="s">
        <v>190</v>
      </c>
      <c r="I33" s="105" t="s">
        <v>350</v>
      </c>
      <c r="J33" s="105" t="s">
        <v>36</v>
      </c>
      <c r="K33" s="148" t="s">
        <v>189</v>
      </c>
      <c r="L33" s="105" t="s">
        <v>34</v>
      </c>
      <c r="M33" s="275">
        <v>3</v>
      </c>
      <c r="N33" s="228">
        <v>2.5000000000000001E-3</v>
      </c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173">
        <f>+IF((SUM(O33:Z33)&gt;=M33),100%,(SUM(O33:Z33)/M33))</f>
        <v>0</v>
      </c>
      <c r="AB33" s="107">
        <f t="shared" si="2"/>
        <v>0</v>
      </c>
      <c r="AC33" s="333"/>
      <c r="AD33" s="313"/>
      <c r="AE33" s="35"/>
      <c r="AF33" s="35"/>
      <c r="AG33" s="73"/>
    </row>
    <row r="34" spans="1:33" ht="63.75" x14ac:dyDescent="0.2">
      <c r="A34" s="375"/>
      <c r="B34" s="384"/>
      <c r="C34" s="418"/>
      <c r="D34" s="330"/>
      <c r="E34" s="330"/>
      <c r="F34" s="418"/>
      <c r="G34" s="330"/>
      <c r="H34" s="105" t="s">
        <v>176</v>
      </c>
      <c r="I34" s="105" t="s">
        <v>191</v>
      </c>
      <c r="J34" s="105" t="s">
        <v>36</v>
      </c>
      <c r="K34" s="148" t="s">
        <v>341</v>
      </c>
      <c r="L34" s="105" t="s">
        <v>34</v>
      </c>
      <c r="M34" s="275">
        <v>1</v>
      </c>
      <c r="N34" s="228">
        <v>2.5000000000000001E-3</v>
      </c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173">
        <f>+IF((SUM(O34:Z34)&gt;=M34),100%,(SUM(O34:Z34)/M34))</f>
        <v>0</v>
      </c>
      <c r="AB34" s="107">
        <f t="shared" si="2"/>
        <v>0</v>
      </c>
      <c r="AC34" s="333"/>
      <c r="AD34" s="313"/>
      <c r="AE34" s="35"/>
      <c r="AF34" s="35"/>
      <c r="AG34" s="35"/>
    </row>
    <row r="35" spans="1:33" x14ac:dyDescent="0.2">
      <c r="A35" s="329" t="s">
        <v>207</v>
      </c>
      <c r="B35" s="329"/>
      <c r="C35" s="329"/>
      <c r="D35" s="329"/>
      <c r="E35" s="329"/>
      <c r="F35" s="329"/>
      <c r="G35" s="329"/>
      <c r="H35" s="330" t="s">
        <v>205</v>
      </c>
      <c r="I35" s="330" t="s">
        <v>206</v>
      </c>
      <c r="J35" s="330" t="s">
        <v>39</v>
      </c>
      <c r="K35" s="330" t="s">
        <v>365</v>
      </c>
      <c r="L35" s="330" t="s">
        <v>34</v>
      </c>
      <c r="M35" s="369">
        <v>2190</v>
      </c>
      <c r="N35" s="333">
        <v>0.02</v>
      </c>
      <c r="O35" s="377"/>
      <c r="P35" s="377"/>
      <c r="Q35" s="377"/>
      <c r="R35" s="377"/>
      <c r="S35" s="377"/>
      <c r="T35" s="377"/>
      <c r="U35" s="414"/>
      <c r="V35" s="414"/>
      <c r="W35" s="414"/>
      <c r="X35" s="377"/>
      <c r="Y35" s="377"/>
      <c r="Z35" s="377"/>
      <c r="AA35" s="398">
        <f>SUM(O35:Z36)/M35</f>
        <v>0</v>
      </c>
      <c r="AB35" s="372">
        <f>IF(AA35&lt;=100%,AA35*N35,N35)</f>
        <v>0</v>
      </c>
      <c r="AC35" s="333">
        <f>(AB35/C48)*100</f>
        <v>0</v>
      </c>
      <c r="AD35" s="413"/>
      <c r="AE35" s="359"/>
      <c r="AF35" s="359"/>
      <c r="AG35" s="359"/>
    </row>
    <row r="36" spans="1:33" ht="114.75" x14ac:dyDescent="0.2">
      <c r="A36" s="111" t="s">
        <v>128</v>
      </c>
      <c r="B36" s="112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36" s="107">
        <f>+F36</f>
        <v>0.02</v>
      </c>
      <c r="D36" s="330" t="s">
        <v>366</v>
      </c>
      <c r="E36" s="330"/>
      <c r="F36" s="107">
        <f>+N35</f>
        <v>0.02</v>
      </c>
      <c r="G36" s="105" t="s">
        <v>67</v>
      </c>
      <c r="H36" s="331"/>
      <c r="I36" s="331"/>
      <c r="J36" s="331"/>
      <c r="K36" s="331"/>
      <c r="L36" s="331"/>
      <c r="M36" s="370"/>
      <c r="N36" s="331"/>
      <c r="O36" s="377"/>
      <c r="P36" s="377"/>
      <c r="Q36" s="377"/>
      <c r="R36" s="377"/>
      <c r="S36" s="377"/>
      <c r="T36" s="377"/>
      <c r="U36" s="414"/>
      <c r="V36" s="414"/>
      <c r="W36" s="414"/>
      <c r="X36" s="377"/>
      <c r="Y36" s="377"/>
      <c r="Z36" s="377"/>
      <c r="AA36" s="399"/>
      <c r="AB36" s="374"/>
      <c r="AC36" s="333"/>
      <c r="AD36" s="413"/>
      <c r="AE36" s="359"/>
      <c r="AF36" s="359"/>
      <c r="AG36" s="359"/>
    </row>
    <row r="37" spans="1:33" x14ac:dyDescent="0.2">
      <c r="A37" s="329" t="s">
        <v>232</v>
      </c>
      <c r="B37" s="329"/>
      <c r="C37" s="329"/>
      <c r="D37" s="329"/>
      <c r="E37" s="329"/>
      <c r="F37" s="329"/>
      <c r="G37" s="329"/>
      <c r="H37" s="409" t="s">
        <v>249</v>
      </c>
      <c r="I37" s="409" t="s">
        <v>253</v>
      </c>
      <c r="J37" s="409" t="s">
        <v>39</v>
      </c>
      <c r="K37" s="409" t="s">
        <v>310</v>
      </c>
      <c r="L37" s="409" t="s">
        <v>34</v>
      </c>
      <c r="M37" s="411">
        <v>1</v>
      </c>
      <c r="N37" s="372">
        <v>1.1111111109999999E-3</v>
      </c>
      <c r="O37" s="386"/>
      <c r="P37" s="387"/>
      <c r="Q37" s="388"/>
      <c r="R37" s="392"/>
      <c r="S37" s="393"/>
      <c r="T37" s="394"/>
      <c r="U37" s="392"/>
      <c r="V37" s="393"/>
      <c r="W37" s="394"/>
      <c r="X37" s="392"/>
      <c r="Y37" s="393"/>
      <c r="Z37" s="394"/>
      <c r="AA37" s="398">
        <f>IF(SUM(O37:Z38)=M37,100%,SUM(O37:Z38)/M37)</f>
        <v>0</v>
      </c>
      <c r="AB37" s="372">
        <f>IF(AA37&lt;=100%,AA37*N37,N37)</f>
        <v>0</v>
      </c>
      <c r="AC37" s="372">
        <f>((SUM(AB37:AB43))/C48)*100</f>
        <v>0</v>
      </c>
      <c r="AD37" s="380"/>
      <c r="AE37" s="364"/>
      <c r="AF37" s="364"/>
      <c r="AG37" s="364"/>
    </row>
    <row r="38" spans="1:33" ht="25.5" x14ac:dyDescent="0.2">
      <c r="A38" s="339" t="s">
        <v>128</v>
      </c>
      <c r="B38" s="383" t="str">
        <f>+'Objetivos Estratégicos'!B5</f>
        <v xml:space="preserve">Realizar alianzas estratégicas con la Alcaldía y sus entes descentralizados para temas de comunicación a través de la Agencia y Central de Medios de Telemedellín. </v>
      </c>
      <c r="C38" s="333">
        <f>SUM(F38:F43)</f>
        <v>6.666666665999999E-3</v>
      </c>
      <c r="D38" s="378" t="s">
        <v>247</v>
      </c>
      <c r="E38" s="379"/>
      <c r="F38" s="372">
        <f>+SUM(N37:N43)</f>
        <v>6.666666665999999E-3</v>
      </c>
      <c r="G38" s="105" t="s">
        <v>67</v>
      </c>
      <c r="H38" s="410"/>
      <c r="I38" s="410"/>
      <c r="J38" s="410"/>
      <c r="K38" s="410"/>
      <c r="L38" s="410"/>
      <c r="M38" s="412"/>
      <c r="N38" s="374"/>
      <c r="O38" s="389"/>
      <c r="P38" s="390"/>
      <c r="Q38" s="391"/>
      <c r="R38" s="395"/>
      <c r="S38" s="396"/>
      <c r="T38" s="397"/>
      <c r="U38" s="395"/>
      <c r="V38" s="396"/>
      <c r="W38" s="397"/>
      <c r="X38" s="395"/>
      <c r="Y38" s="396"/>
      <c r="Z38" s="397"/>
      <c r="AA38" s="399"/>
      <c r="AB38" s="374"/>
      <c r="AC38" s="373"/>
      <c r="AD38" s="381"/>
      <c r="AE38" s="365"/>
      <c r="AF38" s="365"/>
      <c r="AG38" s="365"/>
    </row>
    <row r="39" spans="1:33" ht="51" x14ac:dyDescent="0.2">
      <c r="A39" s="382"/>
      <c r="B39" s="384"/>
      <c r="C39" s="333"/>
      <c r="D39" s="378" t="s">
        <v>248</v>
      </c>
      <c r="E39" s="379"/>
      <c r="F39" s="373"/>
      <c r="G39" s="105" t="s">
        <v>67</v>
      </c>
      <c r="H39" s="113" t="s">
        <v>250</v>
      </c>
      <c r="I39" s="82" t="s">
        <v>254</v>
      </c>
      <c r="J39" s="113" t="s">
        <v>39</v>
      </c>
      <c r="K39" s="149" t="s">
        <v>311</v>
      </c>
      <c r="L39" s="113" t="s">
        <v>34</v>
      </c>
      <c r="M39" s="280">
        <v>1</v>
      </c>
      <c r="N39" s="107">
        <v>1.1111111109999999E-3</v>
      </c>
      <c r="O39" s="400"/>
      <c r="P39" s="401"/>
      <c r="Q39" s="402"/>
      <c r="R39" s="400"/>
      <c r="S39" s="401"/>
      <c r="T39" s="402"/>
      <c r="U39" s="403"/>
      <c r="V39" s="404"/>
      <c r="W39" s="405"/>
      <c r="X39" s="400"/>
      <c r="Y39" s="401"/>
      <c r="Z39" s="402"/>
      <c r="AA39" s="173">
        <f>IF(SUM(O39:Z39)=M39,100%,SUM(O39:Z39)/M39)</f>
        <v>0</v>
      </c>
      <c r="AB39" s="107">
        <f>IF(AA39&lt;=100%,AA39*N39,N39)</f>
        <v>0</v>
      </c>
      <c r="AC39" s="373"/>
      <c r="AD39" s="314"/>
      <c r="AE39" s="230"/>
      <c r="AF39" s="169"/>
      <c r="AG39" s="195"/>
    </row>
    <row r="40" spans="1:33" ht="51" x14ac:dyDescent="0.2">
      <c r="A40" s="382"/>
      <c r="B40" s="384"/>
      <c r="C40" s="333"/>
      <c r="D40" s="378" t="s">
        <v>351</v>
      </c>
      <c r="E40" s="379"/>
      <c r="F40" s="373"/>
      <c r="G40" s="105" t="s">
        <v>67</v>
      </c>
      <c r="H40" s="113" t="s">
        <v>255</v>
      </c>
      <c r="I40" s="82" t="s">
        <v>256</v>
      </c>
      <c r="J40" s="113" t="s">
        <v>39</v>
      </c>
      <c r="K40" s="149" t="s">
        <v>312</v>
      </c>
      <c r="L40" s="113" t="s">
        <v>34</v>
      </c>
      <c r="M40" s="280">
        <v>1</v>
      </c>
      <c r="N40" s="107">
        <v>1.1111111109999999E-3</v>
      </c>
      <c r="O40" s="400"/>
      <c r="P40" s="401"/>
      <c r="Q40" s="402"/>
      <c r="R40" s="400"/>
      <c r="S40" s="401"/>
      <c r="T40" s="402"/>
      <c r="U40" s="403"/>
      <c r="V40" s="404"/>
      <c r="W40" s="405"/>
      <c r="X40" s="400"/>
      <c r="Y40" s="401"/>
      <c r="Z40" s="402"/>
      <c r="AA40" s="173">
        <f>IF(SUM(O40:Z40)=M40,100%,0%)</f>
        <v>0</v>
      </c>
      <c r="AB40" s="107">
        <f>IF(AA40&lt;=100%,AA40*N40,N40)</f>
        <v>0</v>
      </c>
      <c r="AC40" s="373"/>
      <c r="AD40" s="315"/>
      <c r="AE40" s="29"/>
      <c r="AF40" s="169"/>
      <c r="AG40" s="195"/>
    </row>
    <row r="41" spans="1:33" ht="51" x14ac:dyDescent="0.2">
      <c r="A41" s="382"/>
      <c r="B41" s="384"/>
      <c r="C41" s="333"/>
      <c r="D41" s="378" t="s">
        <v>245</v>
      </c>
      <c r="E41" s="379"/>
      <c r="F41" s="373"/>
      <c r="G41" s="105" t="s">
        <v>67</v>
      </c>
      <c r="H41" s="113" t="s">
        <v>251</v>
      </c>
      <c r="I41" s="82" t="s">
        <v>334</v>
      </c>
      <c r="J41" s="113" t="s">
        <v>39</v>
      </c>
      <c r="K41" s="149" t="s">
        <v>307</v>
      </c>
      <c r="L41" s="113" t="s">
        <v>68</v>
      </c>
      <c r="M41" s="283">
        <v>0.8</v>
      </c>
      <c r="N41" s="107">
        <v>1.1111111109999999E-3</v>
      </c>
      <c r="O41" s="406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8"/>
      <c r="AA41" s="206">
        <f>O41/M41</f>
        <v>0</v>
      </c>
      <c r="AB41" s="107">
        <f>IF(AA41&lt;=100%,AA41*N41,N41)</f>
        <v>0</v>
      </c>
      <c r="AC41" s="373"/>
      <c r="AD41" s="229"/>
      <c r="AE41" s="231"/>
      <c r="AF41" s="169"/>
      <c r="AG41" s="73"/>
    </row>
    <row r="42" spans="1:33" ht="63.75" x14ac:dyDescent="0.2">
      <c r="A42" s="382"/>
      <c r="B42" s="384"/>
      <c r="C42" s="333"/>
      <c r="D42" s="378" t="s">
        <v>246</v>
      </c>
      <c r="E42" s="379"/>
      <c r="F42" s="373"/>
      <c r="G42" s="105" t="s">
        <v>67</v>
      </c>
      <c r="H42" s="113" t="s">
        <v>252</v>
      </c>
      <c r="I42" s="82" t="s">
        <v>335</v>
      </c>
      <c r="J42" s="113" t="s">
        <v>39</v>
      </c>
      <c r="K42" s="149" t="s">
        <v>309</v>
      </c>
      <c r="L42" s="244" t="s">
        <v>68</v>
      </c>
      <c r="M42" s="283">
        <v>0.8</v>
      </c>
      <c r="N42" s="107">
        <v>1.1111111109999999E-3</v>
      </c>
      <c r="O42" s="406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8"/>
      <c r="AA42" s="259">
        <f>O42/M42</f>
        <v>0</v>
      </c>
      <c r="AB42" s="107">
        <f>IF(AA42&lt;=100%,AA42*N42,N42)</f>
        <v>0</v>
      </c>
      <c r="AC42" s="373"/>
      <c r="AD42" s="307"/>
      <c r="AE42" s="231"/>
      <c r="AF42" s="169"/>
      <c r="AG42" s="256"/>
    </row>
    <row r="43" spans="1:33" ht="51" x14ac:dyDescent="0.2">
      <c r="A43" s="340"/>
      <c r="B43" s="385"/>
      <c r="C43" s="333"/>
      <c r="D43" s="378" t="s">
        <v>257</v>
      </c>
      <c r="E43" s="379"/>
      <c r="F43" s="374"/>
      <c r="G43" s="105" t="s">
        <v>67</v>
      </c>
      <c r="H43" s="113" t="s">
        <v>258</v>
      </c>
      <c r="I43" s="82" t="s">
        <v>336</v>
      </c>
      <c r="J43" s="113" t="s">
        <v>39</v>
      </c>
      <c r="K43" s="149" t="s">
        <v>308</v>
      </c>
      <c r="L43" s="244" t="s">
        <v>68</v>
      </c>
      <c r="M43" s="283">
        <v>0.8</v>
      </c>
      <c r="N43" s="107">
        <v>1.1111111109999999E-3</v>
      </c>
      <c r="O43" s="406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8"/>
      <c r="AA43" s="216">
        <f>O43/M43</f>
        <v>0</v>
      </c>
      <c r="AB43" s="107">
        <f>IF(AA43&lt;=100%,AA43*N43,N43)</f>
        <v>0</v>
      </c>
      <c r="AC43" s="374"/>
      <c r="AD43" s="307"/>
      <c r="AE43" s="231"/>
      <c r="AF43" s="169"/>
      <c r="AG43" s="73"/>
    </row>
    <row r="44" spans="1:33" ht="13.5" customHeight="1" x14ac:dyDescent="0.2">
      <c r="A44" s="366" t="s">
        <v>16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57">
        <f>SUM(AC11:AC43)</f>
        <v>0</v>
      </c>
      <c r="AD44" s="326"/>
      <c r="AE44" s="326"/>
      <c r="AF44" s="326"/>
      <c r="AG44" s="326"/>
    </row>
    <row r="46" spans="1:33" ht="36" x14ac:dyDescent="0.2">
      <c r="AG46" s="116" t="s">
        <v>313</v>
      </c>
    </row>
    <row r="47" spans="1:33" x14ac:dyDescent="0.2">
      <c r="C47" s="97">
        <f>+C38+C36+C30+C27+C23+C20+C17+C14+C12</f>
        <v>0.36666666666600006</v>
      </c>
      <c r="N47" s="97"/>
    </row>
    <row r="48" spans="1:33" x14ac:dyDescent="0.2">
      <c r="C48" s="292">
        <f>+C47*100</f>
        <v>36.666666666600008</v>
      </c>
    </row>
    <row r="52" spans="14:14" x14ac:dyDescent="0.2">
      <c r="N52" s="261"/>
    </row>
  </sheetData>
  <mergeCells count="297">
    <mergeCell ref="N9:N10"/>
    <mergeCell ref="O9:O10"/>
    <mergeCell ref="A1:D3"/>
    <mergeCell ref="E1:AG3"/>
    <mergeCell ref="A4:AG4"/>
    <mergeCell ref="A5:AG5"/>
    <mergeCell ref="A6:AG6"/>
    <mergeCell ref="A7:AG7"/>
    <mergeCell ref="P9:P10"/>
    <mergeCell ref="Q9:Q10"/>
    <mergeCell ref="R9:R10"/>
    <mergeCell ref="S9:S10"/>
    <mergeCell ref="A8:N8"/>
    <mergeCell ref="O8:Z8"/>
    <mergeCell ref="AD8:AG8"/>
    <mergeCell ref="A9:A10"/>
    <mergeCell ref="B9:B10"/>
    <mergeCell ref="C9:C10"/>
    <mergeCell ref="D9:E10"/>
    <mergeCell ref="F9:F10"/>
    <mergeCell ref="G9:G10"/>
    <mergeCell ref="H9:M9"/>
    <mergeCell ref="AF9:AF10"/>
    <mergeCell ref="AG9:AG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F11:AF12"/>
    <mergeCell ref="AG11:AG12"/>
    <mergeCell ref="D12:E12"/>
    <mergeCell ref="O11:Q12"/>
    <mergeCell ref="R11:T12"/>
    <mergeCell ref="U11:W12"/>
    <mergeCell ref="X11:Z12"/>
    <mergeCell ref="AA11:AA12"/>
    <mergeCell ref="AB11:AB12"/>
    <mergeCell ref="A11:G11"/>
    <mergeCell ref="H11:H12"/>
    <mergeCell ref="I11:I12"/>
    <mergeCell ref="J11:J12"/>
    <mergeCell ref="K11:K12"/>
    <mergeCell ref="L11:L12"/>
    <mergeCell ref="M11:M12"/>
    <mergeCell ref="N11:N12"/>
    <mergeCell ref="A13:G13"/>
    <mergeCell ref="H13:H14"/>
    <mergeCell ref="I13:I14"/>
    <mergeCell ref="J13:J14"/>
    <mergeCell ref="K13:K14"/>
    <mergeCell ref="L13:L14"/>
    <mergeCell ref="AC11:AC12"/>
    <mergeCell ref="AD11:AD12"/>
    <mergeCell ref="AE11:AE12"/>
    <mergeCell ref="AG13:AG14"/>
    <mergeCell ref="A14:A18"/>
    <mergeCell ref="B14:B16"/>
    <mergeCell ref="C14:C16"/>
    <mergeCell ref="D14:E16"/>
    <mergeCell ref="F14:F16"/>
    <mergeCell ref="G14:G16"/>
    <mergeCell ref="O15:Q15"/>
    <mergeCell ref="Y13:Y14"/>
    <mergeCell ref="Z13:Z14"/>
    <mergeCell ref="AA13:AA14"/>
    <mergeCell ref="AB13:AB14"/>
    <mergeCell ref="AC13:AC16"/>
    <mergeCell ref="AD13:AD14"/>
    <mergeCell ref="S13:S14"/>
    <mergeCell ref="T13:T14"/>
    <mergeCell ref="U13:U14"/>
    <mergeCell ref="V13:V14"/>
    <mergeCell ref="W13:W14"/>
    <mergeCell ref="X13:X14"/>
    <mergeCell ref="M13:M14"/>
    <mergeCell ref="N13:N14"/>
    <mergeCell ref="O13:O14"/>
    <mergeCell ref="P13:P14"/>
    <mergeCell ref="R15:T15"/>
    <mergeCell ref="U15:W15"/>
    <mergeCell ref="X15:Z15"/>
    <mergeCell ref="O16:Q16"/>
    <mergeCell ref="R16:T16"/>
    <mergeCell ref="U16:W16"/>
    <mergeCell ref="X16:Z16"/>
    <mergeCell ref="AE13:AE14"/>
    <mergeCell ref="AF13:AF14"/>
    <mergeCell ref="Q13:Q14"/>
    <mergeCell ref="R13:R14"/>
    <mergeCell ref="R17:T17"/>
    <mergeCell ref="U17:W17"/>
    <mergeCell ref="X17:Z17"/>
    <mergeCell ref="B17:B18"/>
    <mergeCell ref="C17:C18"/>
    <mergeCell ref="D17:E18"/>
    <mergeCell ref="F17:F18"/>
    <mergeCell ref="G17:G18"/>
    <mergeCell ref="AC17:AC18"/>
    <mergeCell ref="O18:Q18"/>
    <mergeCell ref="R18:T18"/>
    <mergeCell ref="U18:W18"/>
    <mergeCell ref="X18:Z18"/>
    <mergeCell ref="O17:Q17"/>
    <mergeCell ref="M19:M20"/>
    <mergeCell ref="N19:N20"/>
    <mergeCell ref="O19:O20"/>
    <mergeCell ref="P19:P20"/>
    <mergeCell ref="A19:G19"/>
    <mergeCell ref="H19:H20"/>
    <mergeCell ref="I19:I20"/>
    <mergeCell ref="J19:J20"/>
    <mergeCell ref="K19:K20"/>
    <mergeCell ref="L19:L20"/>
    <mergeCell ref="AE19:AE20"/>
    <mergeCell ref="AF19:AF20"/>
    <mergeCell ref="Q19:Q20"/>
    <mergeCell ref="R19:R20"/>
    <mergeCell ref="AG19:AG20"/>
    <mergeCell ref="A20:A25"/>
    <mergeCell ref="B20:B25"/>
    <mergeCell ref="C20:C22"/>
    <mergeCell ref="D20:E22"/>
    <mergeCell ref="F20:F22"/>
    <mergeCell ref="G20:G22"/>
    <mergeCell ref="O21:Q21"/>
    <mergeCell ref="Y19:Y20"/>
    <mergeCell ref="Z19:Z20"/>
    <mergeCell ref="AA19:AA20"/>
    <mergeCell ref="AB19:AB20"/>
    <mergeCell ref="AC19:AC22"/>
    <mergeCell ref="AD19:AD20"/>
    <mergeCell ref="S19:S20"/>
    <mergeCell ref="T19:T20"/>
    <mergeCell ref="U19:U20"/>
    <mergeCell ref="V19:V20"/>
    <mergeCell ref="W19:W20"/>
    <mergeCell ref="X19:X20"/>
    <mergeCell ref="C23:C25"/>
    <mergeCell ref="D23:E25"/>
    <mergeCell ref="F23:F25"/>
    <mergeCell ref="G23:G25"/>
    <mergeCell ref="O23:Q23"/>
    <mergeCell ref="R23:T23"/>
    <mergeCell ref="U23:W23"/>
    <mergeCell ref="X23:Z23"/>
    <mergeCell ref="R21:T21"/>
    <mergeCell ref="U21:W21"/>
    <mergeCell ref="X21:Z21"/>
    <mergeCell ref="O22:Q22"/>
    <mergeCell ref="R22:T22"/>
    <mergeCell ref="U22:W22"/>
    <mergeCell ref="X22:Z22"/>
    <mergeCell ref="O25:Q25"/>
    <mergeCell ref="R25:T25"/>
    <mergeCell ref="U25:W25"/>
    <mergeCell ref="AE26:AE27"/>
    <mergeCell ref="AF26:AF27"/>
    <mergeCell ref="Q26:Q27"/>
    <mergeCell ref="R26:R27"/>
    <mergeCell ref="AC23:AC25"/>
    <mergeCell ref="O24:Q24"/>
    <mergeCell ref="R24:T24"/>
    <mergeCell ref="U24:W24"/>
    <mergeCell ref="X24:Z24"/>
    <mergeCell ref="X25:Z25"/>
    <mergeCell ref="O26:O27"/>
    <mergeCell ref="P26:P27"/>
    <mergeCell ref="V26:V27"/>
    <mergeCell ref="W26:W27"/>
    <mergeCell ref="X26:X27"/>
    <mergeCell ref="C30:C34"/>
    <mergeCell ref="D30:E34"/>
    <mergeCell ref="F30:F34"/>
    <mergeCell ref="G30:G34"/>
    <mergeCell ref="A26:G26"/>
    <mergeCell ref="H26:H27"/>
    <mergeCell ref="I26:I27"/>
    <mergeCell ref="J26:J27"/>
    <mergeCell ref="K26:K27"/>
    <mergeCell ref="L26:L27"/>
    <mergeCell ref="M26:M27"/>
    <mergeCell ref="N26:N27"/>
    <mergeCell ref="R28:T28"/>
    <mergeCell ref="U28:W28"/>
    <mergeCell ref="X28:Z28"/>
    <mergeCell ref="O29:Q29"/>
    <mergeCell ref="R29:T29"/>
    <mergeCell ref="U29:W29"/>
    <mergeCell ref="X29:Z29"/>
    <mergeCell ref="AG26:AG27"/>
    <mergeCell ref="A27:A34"/>
    <mergeCell ref="B27:B34"/>
    <mergeCell ref="C27:C29"/>
    <mergeCell ref="D27:E29"/>
    <mergeCell ref="F27:F29"/>
    <mergeCell ref="G27:G29"/>
    <mergeCell ref="O28:Q28"/>
    <mergeCell ref="Y26:Y27"/>
    <mergeCell ref="Z26:Z27"/>
    <mergeCell ref="AA26:AA27"/>
    <mergeCell ref="AB26:AB27"/>
    <mergeCell ref="AC26:AC29"/>
    <mergeCell ref="AD26:AD27"/>
    <mergeCell ref="S26:S27"/>
    <mergeCell ref="T26:T27"/>
    <mergeCell ref="U26:U27"/>
    <mergeCell ref="AC30:AC34"/>
    <mergeCell ref="O31:Q31"/>
    <mergeCell ref="R31:T31"/>
    <mergeCell ref="U31:W31"/>
    <mergeCell ref="X31:Z31"/>
    <mergeCell ref="O32:Q32"/>
    <mergeCell ref="R32:T32"/>
    <mergeCell ref="U32:W32"/>
    <mergeCell ref="X32:Z32"/>
    <mergeCell ref="O33:Q33"/>
    <mergeCell ref="R33:T33"/>
    <mergeCell ref="U33:W33"/>
    <mergeCell ref="X33:Z33"/>
    <mergeCell ref="O30:Q30"/>
    <mergeCell ref="R30:T30"/>
    <mergeCell ref="U30:W30"/>
    <mergeCell ref="X30:Z30"/>
    <mergeCell ref="H35:H36"/>
    <mergeCell ref="I35:I36"/>
    <mergeCell ref="J35:J36"/>
    <mergeCell ref="K35:K36"/>
    <mergeCell ref="L35:L36"/>
    <mergeCell ref="O34:Q34"/>
    <mergeCell ref="R34:T34"/>
    <mergeCell ref="U34:W34"/>
    <mergeCell ref="X34:Z34"/>
    <mergeCell ref="O43:Z43"/>
    <mergeCell ref="AG35:AG36"/>
    <mergeCell ref="D36:E36"/>
    <mergeCell ref="A37:G37"/>
    <mergeCell ref="H37:H38"/>
    <mergeCell ref="I37:I38"/>
    <mergeCell ref="J37:J38"/>
    <mergeCell ref="K37:K38"/>
    <mergeCell ref="L37:L38"/>
    <mergeCell ref="M37:M38"/>
    <mergeCell ref="N37:N38"/>
    <mergeCell ref="AA35:AA36"/>
    <mergeCell ref="AB35:AB36"/>
    <mergeCell ref="AC35:AC36"/>
    <mergeCell ref="AD35:AD36"/>
    <mergeCell ref="AE35:AE36"/>
    <mergeCell ref="AF35:AF36"/>
    <mergeCell ref="M35:M36"/>
    <mergeCell ref="N35:N36"/>
    <mergeCell ref="O35:Q36"/>
    <mergeCell ref="R35:T36"/>
    <mergeCell ref="U35:W36"/>
    <mergeCell ref="X35:Z36"/>
    <mergeCell ref="A35:G35"/>
    <mergeCell ref="U39:W39"/>
    <mergeCell ref="X39:Z39"/>
    <mergeCell ref="D40:E40"/>
    <mergeCell ref="O40:Q40"/>
    <mergeCell ref="R40:T40"/>
    <mergeCell ref="U40:W40"/>
    <mergeCell ref="X40:Z40"/>
    <mergeCell ref="O41:Z41"/>
    <mergeCell ref="O42:Z42"/>
    <mergeCell ref="AD44:AG44"/>
    <mergeCell ref="D43:E43"/>
    <mergeCell ref="A44:AB44"/>
    <mergeCell ref="D41:E41"/>
    <mergeCell ref="D42:E42"/>
    <mergeCell ref="AC37:AC43"/>
    <mergeCell ref="AD37:AD38"/>
    <mergeCell ref="AE37:AE38"/>
    <mergeCell ref="AF37:AF38"/>
    <mergeCell ref="AG37:AG38"/>
    <mergeCell ref="A38:A43"/>
    <mergeCell ref="B38:B43"/>
    <mergeCell ref="C38:C43"/>
    <mergeCell ref="D38:E38"/>
    <mergeCell ref="F38:F43"/>
    <mergeCell ref="O37:Q38"/>
    <mergeCell ref="R37:T38"/>
    <mergeCell ref="U37:W38"/>
    <mergeCell ref="X37:Z38"/>
    <mergeCell ref="AA37:AA38"/>
    <mergeCell ref="AB37:AB38"/>
    <mergeCell ref="D39:E39"/>
    <mergeCell ref="O39:Q39"/>
    <mergeCell ref="R39:T39"/>
  </mergeCells>
  <pageMargins left="0.7" right="0.7" top="0.75" bottom="0.75" header="0.3" footer="0.3"/>
  <pageSetup orientation="portrait" r:id="rId1"/>
  <ignoredErrors>
    <ignoredError sqref="F14 F23 F30 F27 F20 F38" formulaRange="1"/>
    <ignoredError sqref="AA16 AA29 AA2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9"/>
  <sheetViews>
    <sheetView showGridLines="0" topLeftCell="T1" zoomScale="70" zoomScaleNormal="70" zoomScalePageLayoutView="86" workbookViewId="0">
      <selection activeCell="M15" sqref="M15"/>
    </sheetView>
  </sheetViews>
  <sheetFormatPr baseColWidth="10" defaultColWidth="10.85546875" defaultRowHeight="12.75" x14ac:dyDescent="0.2"/>
  <cols>
    <col min="1" max="1" width="19.7109375" style="12" customWidth="1"/>
    <col min="2" max="2" width="19.42578125" style="12" customWidth="1"/>
    <col min="3" max="3" width="10.85546875" style="12" customWidth="1"/>
    <col min="4" max="4" width="10.85546875" style="12"/>
    <col min="5" max="5" width="14.42578125" style="12" customWidth="1"/>
    <col min="6" max="6" width="12.5703125" style="12" customWidth="1"/>
    <col min="7" max="7" width="14.7109375" style="12" customWidth="1"/>
    <col min="8" max="8" width="15.42578125" style="12" customWidth="1"/>
    <col min="9" max="9" width="25" style="12" customWidth="1"/>
    <col min="10" max="10" width="10.140625" style="12" customWidth="1"/>
    <col min="11" max="11" width="25.42578125" style="12" customWidth="1"/>
    <col min="12" max="12" width="12.42578125" style="12" customWidth="1"/>
    <col min="13" max="13" width="14.85546875" style="12" customWidth="1"/>
    <col min="14" max="14" width="12.5703125" style="12" customWidth="1"/>
    <col min="15" max="15" width="12.140625" style="12" customWidth="1"/>
    <col min="16" max="16" width="14" style="12" customWidth="1"/>
    <col min="17" max="17" width="13.140625" style="12" customWidth="1"/>
    <col min="18" max="18" width="11.42578125" style="12" customWidth="1"/>
    <col min="19" max="19" width="12.5703125" style="12" customWidth="1"/>
    <col min="20" max="20" width="11.140625" style="12" customWidth="1"/>
    <col min="21" max="21" width="11.85546875" style="12" customWidth="1"/>
    <col min="22" max="22" width="12.28515625" style="12" customWidth="1"/>
    <col min="23" max="25" width="13.42578125" style="12" customWidth="1"/>
    <col min="26" max="26" width="13.28515625" style="12" customWidth="1"/>
    <col min="27" max="27" width="13.5703125" style="12" customWidth="1"/>
    <col min="28" max="28" width="15.28515625" style="12" customWidth="1"/>
    <col min="29" max="29" width="13.85546875" style="12" customWidth="1"/>
    <col min="30" max="30" width="31.140625" style="12" customWidth="1"/>
    <col min="31" max="33" width="33.5703125" style="12" customWidth="1"/>
    <col min="34" max="16384" width="10.85546875" style="12"/>
  </cols>
  <sheetData>
    <row r="1" spans="1:33" ht="13.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1"/>
    </row>
    <row r="2" spans="1:33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4"/>
    </row>
    <row r="3" spans="1:33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7"/>
    </row>
    <row r="4" spans="1:33" ht="15.75" customHeight="1" x14ac:dyDescent="0.2">
      <c r="A4" s="360" t="s">
        <v>64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</row>
    <row r="5" spans="1:33" ht="15" customHeight="1" x14ac:dyDescent="0.2">
      <c r="A5" s="360" t="s">
        <v>112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>
        <f>SUM(AB11:AB14)</f>
        <v>0</v>
      </c>
      <c r="AE5" s="360"/>
      <c r="AF5" s="360"/>
      <c r="AG5" s="360"/>
    </row>
    <row r="6" spans="1:33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>
        <f>SUM(AB15:AB15)</f>
        <v>0</v>
      </c>
      <c r="AE6" s="360"/>
      <c r="AF6" s="360"/>
      <c r="AG6" s="360"/>
    </row>
    <row r="7" spans="1:33" ht="15.75" customHeight="1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</row>
    <row r="8" spans="1:33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45"/>
      <c r="AB8" s="45"/>
      <c r="AC8" s="45"/>
      <c r="AD8" s="344" t="s">
        <v>4</v>
      </c>
      <c r="AE8" s="344"/>
      <c r="AF8" s="344"/>
      <c r="AG8" s="344"/>
    </row>
    <row r="9" spans="1:33" ht="12.75" customHeight="1" x14ac:dyDescent="0.2">
      <c r="A9" s="341" t="s">
        <v>137</v>
      </c>
      <c r="B9" s="341" t="s">
        <v>362</v>
      </c>
      <c r="C9" s="343" t="s">
        <v>5</v>
      </c>
      <c r="D9" s="341" t="s">
        <v>408</v>
      </c>
      <c r="E9" s="341"/>
      <c r="F9" s="343" t="s">
        <v>5</v>
      </c>
      <c r="G9" s="341" t="s">
        <v>7</v>
      </c>
      <c r="H9" s="437" t="s">
        <v>45</v>
      </c>
      <c r="I9" s="437"/>
      <c r="J9" s="437"/>
      <c r="K9" s="437"/>
      <c r="L9" s="437"/>
      <c r="M9" s="437"/>
      <c r="N9" s="343" t="s">
        <v>5</v>
      </c>
      <c r="O9" s="327" t="s">
        <v>372</v>
      </c>
      <c r="P9" s="327" t="s">
        <v>373</v>
      </c>
      <c r="Q9" s="327" t="s">
        <v>374</v>
      </c>
      <c r="R9" s="327" t="s">
        <v>375</v>
      </c>
      <c r="S9" s="327" t="s">
        <v>376</v>
      </c>
      <c r="T9" s="327" t="s">
        <v>377</v>
      </c>
      <c r="U9" s="327" t="s">
        <v>378</v>
      </c>
      <c r="V9" s="327" t="s">
        <v>379</v>
      </c>
      <c r="W9" s="327" t="s">
        <v>380</v>
      </c>
      <c r="X9" s="327" t="s">
        <v>381</v>
      </c>
      <c r="Y9" s="327" t="s">
        <v>382</v>
      </c>
      <c r="Z9" s="327" t="s">
        <v>383</v>
      </c>
      <c r="AA9" s="343" t="s">
        <v>412</v>
      </c>
      <c r="AB9" s="343" t="s">
        <v>9</v>
      </c>
      <c r="AC9" s="343" t="s">
        <v>10</v>
      </c>
      <c r="AD9" s="327" t="s">
        <v>11</v>
      </c>
      <c r="AE9" s="327" t="s">
        <v>12</v>
      </c>
      <c r="AF9" s="327" t="s">
        <v>13</v>
      </c>
      <c r="AG9" s="327" t="s">
        <v>14</v>
      </c>
    </row>
    <row r="10" spans="1:33" ht="51" customHeight="1" x14ac:dyDescent="0.2">
      <c r="A10" s="341"/>
      <c r="B10" s="341"/>
      <c r="C10" s="343"/>
      <c r="D10" s="341"/>
      <c r="E10" s="341"/>
      <c r="F10" s="343"/>
      <c r="G10" s="341"/>
      <c r="H10" s="43" t="s">
        <v>47</v>
      </c>
      <c r="I10" s="44" t="s">
        <v>46</v>
      </c>
      <c r="J10" s="44" t="s">
        <v>51</v>
      </c>
      <c r="K10" s="43" t="s">
        <v>35</v>
      </c>
      <c r="L10" s="44" t="s">
        <v>52</v>
      </c>
      <c r="M10" s="43" t="s">
        <v>105</v>
      </c>
      <c r="N10" s="343"/>
      <c r="O10" s="328"/>
      <c r="P10" s="328"/>
      <c r="Q10" s="328"/>
      <c r="R10" s="328"/>
      <c r="S10" s="328"/>
      <c r="T10" s="327"/>
      <c r="U10" s="327"/>
      <c r="V10" s="327"/>
      <c r="W10" s="328"/>
      <c r="X10" s="328"/>
      <c r="Y10" s="328"/>
      <c r="Z10" s="328"/>
      <c r="AA10" s="343"/>
      <c r="AB10" s="343"/>
      <c r="AC10" s="343"/>
      <c r="AD10" s="328"/>
      <c r="AE10" s="327"/>
      <c r="AF10" s="328"/>
      <c r="AG10" s="328"/>
    </row>
    <row r="11" spans="1:33" ht="83.25" customHeight="1" x14ac:dyDescent="0.2">
      <c r="A11" s="409" t="str">
        <f>+'Plan de desarrollo'!B4</f>
        <v>DIMENSIÓN 1: Creemos en la cultura ciudadana</v>
      </c>
      <c r="B11" s="409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11" s="418">
        <f>+SUM(F11:F14)</f>
        <v>1.4999999999999999E-2</v>
      </c>
      <c r="D11" s="330" t="s">
        <v>74</v>
      </c>
      <c r="E11" s="330"/>
      <c r="F11" s="418">
        <f>+N11</f>
        <v>7.4999999999999997E-3</v>
      </c>
      <c r="G11" s="330" t="s">
        <v>69</v>
      </c>
      <c r="H11" s="330" t="s">
        <v>103</v>
      </c>
      <c r="I11" s="330" t="s">
        <v>70</v>
      </c>
      <c r="J11" s="330" t="s">
        <v>39</v>
      </c>
      <c r="K11" s="330" t="s">
        <v>72</v>
      </c>
      <c r="L11" s="330" t="s">
        <v>54</v>
      </c>
      <c r="M11" s="443">
        <v>0.9</v>
      </c>
      <c r="N11" s="333">
        <v>7.4999999999999997E-3</v>
      </c>
      <c r="O11" s="445"/>
      <c r="P11" s="445"/>
      <c r="Q11" s="445"/>
      <c r="R11" s="445"/>
      <c r="S11" s="445"/>
      <c r="T11" s="445"/>
      <c r="U11" s="442"/>
      <c r="V11" s="442"/>
      <c r="W11" s="442"/>
      <c r="X11" s="442"/>
      <c r="Y11" s="442"/>
      <c r="Z11" s="442"/>
      <c r="AA11" s="448">
        <f>IFERROR(AVERAGE(O11:Z12)/M11,0)</f>
        <v>0</v>
      </c>
      <c r="AB11" s="333">
        <f>IF(AA11&lt;=100%,AA11*N11,N11)</f>
        <v>0</v>
      </c>
      <c r="AC11" s="372">
        <f>(SUM(AB11:AB14)/C19)*100</f>
        <v>0</v>
      </c>
      <c r="AD11" s="439"/>
      <c r="AE11" s="441"/>
      <c r="AF11" s="441"/>
      <c r="AG11" s="430"/>
    </row>
    <row r="12" spans="1:33" x14ac:dyDescent="0.2">
      <c r="A12" s="438"/>
      <c r="B12" s="438"/>
      <c r="C12" s="418"/>
      <c r="D12" s="330"/>
      <c r="E12" s="330"/>
      <c r="F12" s="418"/>
      <c r="G12" s="330"/>
      <c r="H12" s="330"/>
      <c r="I12" s="330"/>
      <c r="J12" s="330"/>
      <c r="K12" s="330"/>
      <c r="L12" s="330"/>
      <c r="M12" s="443"/>
      <c r="N12" s="333"/>
      <c r="O12" s="340"/>
      <c r="P12" s="340"/>
      <c r="Q12" s="340"/>
      <c r="R12" s="340"/>
      <c r="S12" s="340"/>
      <c r="T12" s="340"/>
      <c r="U12" s="442"/>
      <c r="V12" s="442"/>
      <c r="W12" s="442"/>
      <c r="X12" s="442"/>
      <c r="Y12" s="442"/>
      <c r="Z12" s="442"/>
      <c r="AA12" s="448"/>
      <c r="AB12" s="333"/>
      <c r="AC12" s="373"/>
      <c r="AD12" s="440"/>
      <c r="AE12" s="441"/>
      <c r="AF12" s="441"/>
      <c r="AG12" s="431"/>
    </row>
    <row r="13" spans="1:33" ht="76.5" customHeight="1" x14ac:dyDescent="0.2">
      <c r="A13" s="438"/>
      <c r="B13" s="438"/>
      <c r="C13" s="418"/>
      <c r="D13" s="330" t="s">
        <v>75</v>
      </c>
      <c r="E13" s="330"/>
      <c r="F13" s="418">
        <f>+N11</f>
        <v>7.4999999999999997E-3</v>
      </c>
      <c r="G13" s="330" t="s">
        <v>69</v>
      </c>
      <c r="H13" s="330" t="s">
        <v>104</v>
      </c>
      <c r="I13" s="330" t="s">
        <v>71</v>
      </c>
      <c r="J13" s="330"/>
      <c r="K13" s="330" t="s">
        <v>73</v>
      </c>
      <c r="L13" s="330"/>
      <c r="M13" s="443">
        <v>0.9</v>
      </c>
      <c r="N13" s="372">
        <v>7.4999999999999997E-3</v>
      </c>
      <c r="O13" s="445"/>
      <c r="P13" s="445"/>
      <c r="Q13" s="445"/>
      <c r="R13" s="445"/>
      <c r="S13" s="445"/>
      <c r="T13" s="445"/>
      <c r="U13" s="444"/>
      <c r="V13" s="444"/>
      <c r="W13" s="444"/>
      <c r="X13" s="444"/>
      <c r="Y13" s="444"/>
      <c r="Z13" s="444"/>
      <c r="AA13" s="398">
        <f>IFERROR(AVERAGE(O13:Z14)/M13,0)</f>
        <v>0</v>
      </c>
      <c r="AB13" s="333">
        <f>IF(AA13&lt;=100%,AA13*N13,N13)</f>
        <v>0</v>
      </c>
      <c r="AC13" s="373"/>
      <c r="AD13" s="441"/>
      <c r="AE13" s="441"/>
      <c r="AF13" s="441"/>
      <c r="AG13" s="441"/>
    </row>
    <row r="14" spans="1:33" x14ac:dyDescent="0.2">
      <c r="A14" s="410"/>
      <c r="B14" s="410"/>
      <c r="C14" s="418"/>
      <c r="D14" s="330"/>
      <c r="E14" s="330"/>
      <c r="F14" s="418"/>
      <c r="G14" s="330"/>
      <c r="H14" s="330"/>
      <c r="I14" s="330"/>
      <c r="J14" s="330"/>
      <c r="K14" s="330"/>
      <c r="L14" s="330"/>
      <c r="M14" s="443"/>
      <c r="N14" s="374"/>
      <c r="O14" s="340"/>
      <c r="P14" s="340"/>
      <c r="Q14" s="340"/>
      <c r="R14" s="340"/>
      <c r="S14" s="340"/>
      <c r="T14" s="340"/>
      <c r="U14" s="444"/>
      <c r="V14" s="444"/>
      <c r="W14" s="444"/>
      <c r="X14" s="444"/>
      <c r="Y14" s="444"/>
      <c r="Z14" s="444"/>
      <c r="AA14" s="398"/>
      <c r="AB14" s="333"/>
      <c r="AC14" s="374"/>
      <c r="AD14" s="441"/>
      <c r="AE14" s="441"/>
      <c r="AF14" s="441"/>
      <c r="AG14" s="441"/>
    </row>
    <row r="15" spans="1:33" ht="114.75" x14ac:dyDescent="0.2">
      <c r="A15" s="39" t="s">
        <v>128</v>
      </c>
      <c r="B15" s="37" t="s">
        <v>346</v>
      </c>
      <c r="C15" s="38">
        <f>+F15</f>
        <v>5.0000000000000001E-3</v>
      </c>
      <c r="D15" s="446" t="s">
        <v>76</v>
      </c>
      <c r="E15" s="446"/>
      <c r="F15" s="38">
        <f>+N15</f>
        <v>5.0000000000000001E-3</v>
      </c>
      <c r="G15" s="36" t="s">
        <v>69</v>
      </c>
      <c r="H15" s="36" t="s">
        <v>78</v>
      </c>
      <c r="I15" s="36" t="s">
        <v>77</v>
      </c>
      <c r="J15" s="36" t="s">
        <v>53</v>
      </c>
      <c r="K15" s="36" t="s">
        <v>79</v>
      </c>
      <c r="L15" s="36" t="s">
        <v>34</v>
      </c>
      <c r="M15" s="27">
        <v>20000000</v>
      </c>
      <c r="N15" s="40">
        <v>5.0000000000000001E-3</v>
      </c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216">
        <f>SUM(O15:Z15)/M15</f>
        <v>0</v>
      </c>
      <c r="AB15" s="40">
        <f>IF(AA15&lt;=100%,AA15*N15,N15)</f>
        <v>0</v>
      </c>
      <c r="AC15" s="40">
        <f>(AB15/C19)*100</f>
        <v>0</v>
      </c>
      <c r="AD15" s="150"/>
      <c r="AE15" s="152"/>
      <c r="AF15" s="251"/>
      <c r="AG15" s="190"/>
    </row>
    <row r="16" spans="1:33" ht="13.5" customHeight="1" x14ac:dyDescent="0.2">
      <c r="A16" s="366" t="s">
        <v>16</v>
      </c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46">
        <f>SUM(AC11:AC15)</f>
        <v>0</v>
      </c>
      <c r="AD16" s="326"/>
      <c r="AE16" s="326"/>
      <c r="AF16" s="326"/>
      <c r="AG16" s="326"/>
    </row>
    <row r="18" spans="3:33" ht="36" x14ac:dyDescent="0.2">
      <c r="C18" s="21">
        <f>+C15+C11</f>
        <v>0.02</v>
      </c>
      <c r="AG18" s="116" t="s">
        <v>313</v>
      </c>
    </row>
    <row r="19" spans="3:33" x14ac:dyDescent="0.2">
      <c r="C19" s="12">
        <f>+C18*100</f>
        <v>2</v>
      </c>
    </row>
  </sheetData>
  <mergeCells count="101">
    <mergeCell ref="E1:AG3"/>
    <mergeCell ref="Q13:Q14"/>
    <mergeCell ref="R13:R14"/>
    <mergeCell ref="S13:S14"/>
    <mergeCell ref="T13:T14"/>
    <mergeCell ref="Y11:Y12"/>
    <mergeCell ref="Z11:Z12"/>
    <mergeCell ref="O11:O12"/>
    <mergeCell ref="S11:S12"/>
    <mergeCell ref="T11:T12"/>
    <mergeCell ref="P11:P12"/>
    <mergeCell ref="Q11:Q12"/>
    <mergeCell ref="R11:R12"/>
    <mergeCell ref="AG11:AG12"/>
    <mergeCell ref="D13:E14"/>
    <mergeCell ref="F13:F14"/>
    <mergeCell ref="G13:G14"/>
    <mergeCell ref="H13:H14"/>
    <mergeCell ref="I13:I14"/>
    <mergeCell ref="K13:K14"/>
    <mergeCell ref="M13:M14"/>
    <mergeCell ref="N13:N14"/>
    <mergeCell ref="AA11:AA12"/>
    <mergeCell ref="AB11:AB12"/>
    <mergeCell ref="AD16:AG16"/>
    <mergeCell ref="D15:E15"/>
    <mergeCell ref="O15:Q15"/>
    <mergeCell ref="R15:T15"/>
    <mergeCell ref="U15:W15"/>
    <mergeCell ref="X15:Z15"/>
    <mergeCell ref="A16:AB16"/>
    <mergeCell ref="AB13:AB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P13:P14"/>
    <mergeCell ref="C11:C14"/>
    <mergeCell ref="D11:E12"/>
    <mergeCell ref="F11:F12"/>
    <mergeCell ref="G11:G12"/>
    <mergeCell ref="H11:H12"/>
    <mergeCell ref="AD11:AD12"/>
    <mergeCell ref="AE11:AE12"/>
    <mergeCell ref="AF11:AF12"/>
    <mergeCell ref="U11:U12"/>
    <mergeCell ref="V11:V12"/>
    <mergeCell ref="W11:W12"/>
    <mergeCell ref="X11:X12"/>
    <mergeCell ref="J11:J14"/>
    <mergeCell ref="K11:K12"/>
    <mergeCell ref="L11:L14"/>
    <mergeCell ref="M11:M12"/>
    <mergeCell ref="N11:N12"/>
    <mergeCell ref="U13:U14"/>
    <mergeCell ref="O13:O14"/>
    <mergeCell ref="V9:V10"/>
    <mergeCell ref="W9:W10"/>
    <mergeCell ref="A9:A10"/>
    <mergeCell ref="B9:B10"/>
    <mergeCell ref="C9:C10"/>
    <mergeCell ref="D9:E10"/>
    <mergeCell ref="F9:F10"/>
    <mergeCell ref="G9:G10"/>
    <mergeCell ref="S9:S10"/>
    <mergeCell ref="T9:T10"/>
    <mergeCell ref="U9:U10"/>
    <mergeCell ref="H9:M9"/>
    <mergeCell ref="N9:N10"/>
    <mergeCell ref="O9:O10"/>
    <mergeCell ref="P9:P10"/>
    <mergeCell ref="X9:X10"/>
    <mergeCell ref="I11:I12"/>
    <mergeCell ref="A11:A14"/>
    <mergeCell ref="B11:B14"/>
    <mergeCell ref="A1:D3"/>
    <mergeCell ref="A4:AG4"/>
    <mergeCell ref="AC11:AC14"/>
    <mergeCell ref="A5:AG5"/>
    <mergeCell ref="A6:AG6"/>
    <mergeCell ref="A7:AG7"/>
    <mergeCell ref="A8:N8"/>
    <mergeCell ref="O8:Z8"/>
    <mergeCell ref="AD8:AG8"/>
    <mergeCell ref="AG9:AG10"/>
    <mergeCell ref="AA9:AA10"/>
    <mergeCell ref="AB9:AB10"/>
    <mergeCell ref="AC9:AC10"/>
    <mergeCell ref="AD9:AD10"/>
    <mergeCell ref="AE9:AE10"/>
    <mergeCell ref="AF9:AF10"/>
    <mergeCell ref="Q9:Q10"/>
    <mergeCell ref="R9:R10"/>
    <mergeCell ref="Y9:Y10"/>
    <mergeCell ref="Z9:Z10"/>
  </mergeCells>
  <pageMargins left="0.7" right="0.7" top="0.75" bottom="0.75" header="0.3" footer="0.3"/>
  <pageSetup orientation="portrait" r:id="rId1"/>
  <ignoredErrors>
    <ignoredError sqref="AB11 AB1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66"/>
  <sheetViews>
    <sheetView showGridLines="0" zoomScale="70" zoomScaleNormal="70" zoomScalePageLayoutView="85" workbookViewId="0">
      <selection activeCell="P13" sqref="P13"/>
    </sheetView>
  </sheetViews>
  <sheetFormatPr baseColWidth="10" defaultColWidth="0" defaultRowHeight="0" customHeight="1" zeroHeight="1" x14ac:dyDescent="0.2"/>
  <cols>
    <col min="1" max="1" width="19.28515625" style="1" customWidth="1"/>
    <col min="2" max="2" width="26.28515625" style="1" customWidth="1"/>
    <col min="3" max="3" width="11" style="1" customWidth="1"/>
    <col min="4" max="4" width="19.5703125" style="1" customWidth="1"/>
    <col min="5" max="5" width="5.7109375" style="1" customWidth="1"/>
    <col min="6" max="6" width="12.140625" style="1" customWidth="1"/>
    <col min="7" max="7" width="19.140625" style="1" bestFit="1" customWidth="1"/>
    <col min="8" max="8" width="22.42578125" style="1" customWidth="1"/>
    <col min="9" max="9" width="45.28515625" style="1" customWidth="1"/>
    <col min="10" max="10" width="13.7109375" style="1" customWidth="1"/>
    <col min="11" max="12" width="16.42578125" style="1" customWidth="1"/>
    <col min="13" max="13" width="19" style="1" customWidth="1"/>
    <col min="14" max="14" width="11.7109375" style="1" customWidth="1"/>
    <col min="15" max="15" width="17.140625" style="1" customWidth="1"/>
    <col min="16" max="16" width="15.85546875" style="1" customWidth="1"/>
    <col min="17" max="17" width="15" style="1" customWidth="1"/>
    <col min="18" max="18" width="15.5703125" style="1" customWidth="1"/>
    <col min="19" max="20" width="15.7109375" style="1" customWidth="1"/>
    <col min="21" max="21" width="14.85546875" style="1" customWidth="1"/>
    <col min="22" max="25" width="29.85546875" style="1" customWidth="1"/>
    <col min="26" max="26" width="9.7109375" style="1" customWidth="1"/>
    <col min="27" max="31" width="0" style="1" hidden="1" customWidth="1"/>
    <col min="32" max="16384" width="15" style="1" hidden="1"/>
  </cols>
  <sheetData>
    <row r="1" spans="1:25" ht="18.7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ht="12.75" x14ac:dyDescent="0.2">
      <c r="A4" s="360" t="s">
        <v>131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ht="12.75" x14ac:dyDescent="0.2">
      <c r="A5" s="360" t="s">
        <v>133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5" ht="12.75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5" ht="12.75" x14ac:dyDescent="0.2">
      <c r="A7" s="462"/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4"/>
    </row>
    <row r="8" spans="1:25" ht="15.75" customHeight="1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109"/>
      <c r="T8" s="109"/>
      <c r="U8" s="109"/>
      <c r="V8" s="344" t="s">
        <v>4</v>
      </c>
      <c r="W8" s="344"/>
      <c r="X8" s="344"/>
      <c r="Y8" s="344"/>
    </row>
    <row r="9" spans="1:25" ht="11.2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341" t="s">
        <v>8</v>
      </c>
      <c r="I9" s="341"/>
      <c r="J9" s="341"/>
      <c r="K9" s="341"/>
      <c r="L9" s="341"/>
      <c r="M9" s="341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327" t="s">
        <v>11</v>
      </c>
      <c r="W9" s="327" t="s">
        <v>12</v>
      </c>
      <c r="X9" s="327" t="s">
        <v>13</v>
      </c>
      <c r="Y9" s="327" t="s">
        <v>14</v>
      </c>
    </row>
    <row r="10" spans="1:25" ht="77.25" customHeight="1" x14ac:dyDescent="0.2">
      <c r="A10" s="341"/>
      <c r="B10" s="341"/>
      <c r="C10" s="343"/>
      <c r="D10" s="341"/>
      <c r="E10" s="341"/>
      <c r="F10" s="343"/>
      <c r="G10" s="341"/>
      <c r="H10" s="109" t="s">
        <v>47</v>
      </c>
      <c r="I10" s="115" t="s">
        <v>46</v>
      </c>
      <c r="J10" s="115" t="s">
        <v>51</v>
      </c>
      <c r="K10" s="109" t="s">
        <v>35</v>
      </c>
      <c r="L10" s="115" t="s">
        <v>52</v>
      </c>
      <c r="M10" s="115" t="s">
        <v>56</v>
      </c>
      <c r="N10" s="343"/>
      <c r="O10" s="327"/>
      <c r="P10" s="327"/>
      <c r="Q10" s="327"/>
      <c r="R10" s="327"/>
      <c r="S10" s="343"/>
      <c r="T10" s="343"/>
      <c r="U10" s="343"/>
      <c r="V10" s="328"/>
      <c r="W10" s="327"/>
      <c r="X10" s="328"/>
      <c r="Y10" s="328"/>
    </row>
    <row r="11" spans="1:25" ht="12.75" customHeight="1" x14ac:dyDescent="0.2">
      <c r="A11" s="329" t="s">
        <v>232</v>
      </c>
      <c r="B11" s="329"/>
      <c r="C11" s="329"/>
      <c r="D11" s="329"/>
      <c r="E11" s="329"/>
      <c r="F11" s="329"/>
      <c r="G11" s="329"/>
      <c r="H11" s="409" t="s">
        <v>235</v>
      </c>
      <c r="I11" s="465" t="s">
        <v>236</v>
      </c>
      <c r="J11" s="409" t="s">
        <v>53</v>
      </c>
      <c r="K11" s="409" t="s">
        <v>235</v>
      </c>
      <c r="L11" s="409" t="s">
        <v>34</v>
      </c>
      <c r="M11" s="455">
        <v>25000000</v>
      </c>
      <c r="N11" s="372">
        <v>0.01</v>
      </c>
      <c r="O11" s="455"/>
      <c r="P11" s="455"/>
      <c r="Q11" s="455"/>
      <c r="R11" s="455"/>
      <c r="S11" s="457">
        <f>+SUM(O11:R12)/M11</f>
        <v>0</v>
      </c>
      <c r="T11" s="459">
        <f>IF(S11&lt;=100%,S11*N11,N11)</f>
        <v>0</v>
      </c>
      <c r="U11" s="362">
        <f>(T11/C25)*100</f>
        <v>0</v>
      </c>
      <c r="V11" s="364"/>
      <c r="W11" s="337"/>
      <c r="X11" s="364"/>
      <c r="Y11" s="364"/>
    </row>
    <row r="12" spans="1:25" ht="41.25" customHeight="1" x14ac:dyDescent="0.2">
      <c r="A12" s="452" t="str">
        <f>+'Plan de desarrollo'!B4</f>
        <v>DIMENSIÓN 1: Creemos en la cultura ciudadana</v>
      </c>
      <c r="B12" s="383" t="str">
        <f>'Objetivos Estratégicos'!B5</f>
        <v xml:space="preserve">Realizar alianzas estratégicas con la Alcaldía y sus entes descentralizados para temas de comunicación a través de la Agencia y Central de Medios de Telemedellín. </v>
      </c>
      <c r="C12" s="372">
        <f>SUM(F12:F18)</f>
        <v>8.1699999999999995E-2</v>
      </c>
      <c r="D12" s="367" t="s">
        <v>233</v>
      </c>
      <c r="E12" s="368"/>
      <c r="F12" s="372">
        <f>+SUM(N11:N17)</f>
        <v>5.67E-2</v>
      </c>
      <c r="G12" s="105" t="s">
        <v>132</v>
      </c>
      <c r="H12" s="410"/>
      <c r="I12" s="466"/>
      <c r="J12" s="410"/>
      <c r="K12" s="410"/>
      <c r="L12" s="410"/>
      <c r="M12" s="456"/>
      <c r="N12" s="374"/>
      <c r="O12" s="456"/>
      <c r="P12" s="456"/>
      <c r="Q12" s="456"/>
      <c r="R12" s="456"/>
      <c r="S12" s="458"/>
      <c r="T12" s="460"/>
      <c r="U12" s="363"/>
      <c r="V12" s="365"/>
      <c r="W12" s="461"/>
      <c r="X12" s="365"/>
      <c r="Y12" s="365"/>
    </row>
    <row r="13" spans="1:25" ht="186" customHeight="1" x14ac:dyDescent="0.2">
      <c r="A13" s="453"/>
      <c r="B13" s="384"/>
      <c r="C13" s="373"/>
      <c r="D13" s="330" t="s">
        <v>367</v>
      </c>
      <c r="E13" s="330"/>
      <c r="F13" s="373"/>
      <c r="G13" s="105" t="s">
        <v>132</v>
      </c>
      <c r="H13" s="105" t="s">
        <v>368</v>
      </c>
      <c r="I13" s="2" t="s">
        <v>369</v>
      </c>
      <c r="J13" s="105" t="s">
        <v>53</v>
      </c>
      <c r="K13" s="105" t="s">
        <v>410</v>
      </c>
      <c r="L13" s="105" t="s">
        <v>34</v>
      </c>
      <c r="M13" s="273">
        <v>8029366915</v>
      </c>
      <c r="N13" s="145">
        <v>0.02</v>
      </c>
      <c r="O13" s="305"/>
      <c r="P13" s="252"/>
      <c r="Q13" s="252"/>
      <c r="R13" s="254"/>
      <c r="S13" s="173">
        <f t="shared" ref="S13:S17" si="0">SUM(O13:R13)/M13</f>
        <v>0</v>
      </c>
      <c r="T13" s="107">
        <f t="shared" ref="T13:T18" si="1">IF(S13&lt;=100%,S13*N13,N13)</f>
        <v>0</v>
      </c>
      <c r="U13" s="108">
        <f>(T13/C25)*100</f>
        <v>0</v>
      </c>
      <c r="V13" s="307"/>
      <c r="W13" s="232"/>
      <c r="X13" s="253"/>
      <c r="Y13" s="253"/>
    </row>
    <row r="14" spans="1:25" ht="88.5" customHeight="1" x14ac:dyDescent="0.2">
      <c r="A14" s="453"/>
      <c r="B14" s="384"/>
      <c r="C14" s="373"/>
      <c r="D14" s="330" t="s">
        <v>242</v>
      </c>
      <c r="E14" s="330"/>
      <c r="F14" s="373"/>
      <c r="G14" s="105" t="s">
        <v>132</v>
      </c>
      <c r="H14" s="105" t="s">
        <v>243</v>
      </c>
      <c r="I14" s="2" t="s">
        <v>244</v>
      </c>
      <c r="J14" s="105" t="s">
        <v>53</v>
      </c>
      <c r="K14" s="105" t="s">
        <v>411</v>
      </c>
      <c r="L14" s="105" t="s">
        <v>34</v>
      </c>
      <c r="M14" s="302">
        <v>154832119</v>
      </c>
      <c r="N14" s="145">
        <v>0.02</v>
      </c>
      <c r="O14" s="305"/>
      <c r="P14" s="170"/>
      <c r="Q14" s="252"/>
      <c r="R14" s="252"/>
      <c r="S14" s="173">
        <f t="shared" si="0"/>
        <v>0</v>
      </c>
      <c r="T14" s="107">
        <f t="shared" si="1"/>
        <v>0</v>
      </c>
      <c r="U14" s="108">
        <f>(T14/C25)*100</f>
        <v>0</v>
      </c>
      <c r="V14" s="307"/>
      <c r="W14" s="104"/>
      <c r="X14" s="253"/>
      <c r="Y14" s="253"/>
    </row>
    <row r="15" spans="1:25" ht="90.75" customHeight="1" x14ac:dyDescent="0.2">
      <c r="A15" s="453"/>
      <c r="B15" s="384"/>
      <c r="C15" s="373"/>
      <c r="D15" s="330" t="s">
        <v>245</v>
      </c>
      <c r="E15" s="330"/>
      <c r="F15" s="373"/>
      <c r="G15" s="105" t="s">
        <v>132</v>
      </c>
      <c r="H15" s="105" t="s">
        <v>251</v>
      </c>
      <c r="I15" s="2" t="s">
        <v>334</v>
      </c>
      <c r="J15" s="105" t="s">
        <v>39</v>
      </c>
      <c r="K15" s="113" t="s">
        <v>307</v>
      </c>
      <c r="L15" s="105" t="s">
        <v>68</v>
      </c>
      <c r="M15" s="283">
        <v>0.8</v>
      </c>
      <c r="N15" s="145">
        <v>2.2000000000000001E-3</v>
      </c>
      <c r="O15" s="449"/>
      <c r="P15" s="450"/>
      <c r="Q15" s="450"/>
      <c r="R15" s="451"/>
      <c r="S15" s="173">
        <f t="shared" si="0"/>
        <v>0</v>
      </c>
      <c r="T15" s="107">
        <f t="shared" si="1"/>
        <v>0</v>
      </c>
      <c r="U15" s="108">
        <f>(T15/C25)*100</f>
        <v>0</v>
      </c>
      <c r="V15" s="307"/>
      <c r="W15" s="143"/>
      <c r="X15" s="245"/>
      <c r="Y15" s="197"/>
    </row>
    <row r="16" spans="1:25" ht="105" customHeight="1" x14ac:dyDescent="0.2">
      <c r="A16" s="453"/>
      <c r="B16" s="384"/>
      <c r="C16" s="373"/>
      <c r="D16" s="330" t="s">
        <v>246</v>
      </c>
      <c r="E16" s="330"/>
      <c r="F16" s="373"/>
      <c r="G16" s="105" t="s">
        <v>132</v>
      </c>
      <c r="H16" s="105" t="s">
        <v>252</v>
      </c>
      <c r="I16" s="2" t="s">
        <v>335</v>
      </c>
      <c r="J16" s="105" t="s">
        <v>39</v>
      </c>
      <c r="K16" s="113" t="s">
        <v>309</v>
      </c>
      <c r="L16" s="239" t="s">
        <v>68</v>
      </c>
      <c r="M16" s="283">
        <v>0.8</v>
      </c>
      <c r="N16" s="145">
        <v>2.2000000000000001E-3</v>
      </c>
      <c r="O16" s="449"/>
      <c r="P16" s="450"/>
      <c r="Q16" s="450"/>
      <c r="R16" s="451"/>
      <c r="S16" s="173">
        <f t="shared" si="0"/>
        <v>0</v>
      </c>
      <c r="T16" s="107">
        <f t="shared" si="1"/>
        <v>0</v>
      </c>
      <c r="U16" s="108">
        <f>(T16/C25)*100</f>
        <v>0</v>
      </c>
      <c r="V16" s="307"/>
      <c r="W16" s="143"/>
      <c r="X16" s="245"/>
      <c r="Y16" s="256"/>
    </row>
    <row r="17" spans="1:25" ht="94.5" customHeight="1" x14ac:dyDescent="0.2">
      <c r="A17" s="453"/>
      <c r="B17" s="384"/>
      <c r="C17" s="373"/>
      <c r="D17" s="330" t="s">
        <v>257</v>
      </c>
      <c r="E17" s="330"/>
      <c r="F17" s="374"/>
      <c r="G17" s="105" t="s">
        <v>132</v>
      </c>
      <c r="H17" s="105" t="s">
        <v>258</v>
      </c>
      <c r="I17" s="2" t="s">
        <v>336</v>
      </c>
      <c r="J17" s="105" t="s">
        <v>39</v>
      </c>
      <c r="K17" s="113" t="s">
        <v>308</v>
      </c>
      <c r="L17" s="239" t="s">
        <v>68</v>
      </c>
      <c r="M17" s="283">
        <v>0.8</v>
      </c>
      <c r="N17" s="145">
        <v>2.3E-3</v>
      </c>
      <c r="O17" s="449"/>
      <c r="P17" s="450"/>
      <c r="Q17" s="450"/>
      <c r="R17" s="451"/>
      <c r="S17" s="173">
        <f t="shared" si="0"/>
        <v>0</v>
      </c>
      <c r="T17" s="107">
        <f t="shared" si="1"/>
        <v>0</v>
      </c>
      <c r="U17" s="108">
        <f>(T17/C25)*100</f>
        <v>0</v>
      </c>
      <c r="V17" s="307"/>
      <c r="W17" s="143"/>
      <c r="X17" s="245"/>
      <c r="Y17" s="197"/>
    </row>
    <row r="18" spans="1:25" ht="61.5" customHeight="1" x14ac:dyDescent="0.2">
      <c r="A18" s="454"/>
      <c r="B18" s="385"/>
      <c r="C18" s="374"/>
      <c r="D18" s="330" t="s">
        <v>316</v>
      </c>
      <c r="E18" s="330"/>
      <c r="F18" s="107">
        <f>N18</f>
        <v>2.5000000000000001E-2</v>
      </c>
      <c r="G18" s="105" t="s">
        <v>132</v>
      </c>
      <c r="H18" s="105" t="s">
        <v>317</v>
      </c>
      <c r="I18" s="2" t="s">
        <v>318</v>
      </c>
      <c r="J18" s="105" t="s">
        <v>53</v>
      </c>
      <c r="K18" s="105" t="s">
        <v>317</v>
      </c>
      <c r="L18" s="105" t="s">
        <v>34</v>
      </c>
      <c r="M18" s="106">
        <v>1666350000</v>
      </c>
      <c r="N18" s="145">
        <v>2.5000000000000001E-2</v>
      </c>
      <c r="O18" s="144"/>
      <c r="P18" s="170"/>
      <c r="Q18" s="170"/>
      <c r="R18" s="198"/>
      <c r="S18" s="173">
        <f>SUM(R18)/M18</f>
        <v>0</v>
      </c>
      <c r="T18" s="107">
        <f t="shared" si="1"/>
        <v>0</v>
      </c>
      <c r="U18" s="108">
        <f>(T18/C25)*100</f>
        <v>0</v>
      </c>
      <c r="V18" s="143"/>
      <c r="W18" s="231"/>
      <c r="X18" s="245"/>
      <c r="Y18" s="199"/>
    </row>
    <row r="19" spans="1:25" s="12" customFormat="1" ht="17.25" customHeight="1" x14ac:dyDescent="0.2">
      <c r="A19" s="366" t="s">
        <v>16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101">
        <f>SUM(U11:U18)</f>
        <v>0</v>
      </c>
      <c r="V19" s="348"/>
      <c r="W19" s="348"/>
      <c r="X19" s="348"/>
      <c r="Y19" s="348"/>
    </row>
    <row r="20" spans="1:25" s="15" customFormat="1" ht="12.75" x14ac:dyDescent="0.2"/>
    <row r="21" spans="1:25" s="15" customFormat="1" ht="36" x14ac:dyDescent="0.2">
      <c r="C21" s="151"/>
      <c r="M21" s="301"/>
      <c r="Y21" s="118" t="s">
        <v>313</v>
      </c>
    </row>
    <row r="22" spans="1:25" s="15" customFormat="1" ht="26.25" customHeight="1" x14ac:dyDescent="0.2"/>
    <row r="23" spans="1:25" s="15" customFormat="1" ht="12.75" x14ac:dyDescent="0.2"/>
    <row r="24" spans="1:25" s="15" customFormat="1" ht="26.25" customHeight="1" x14ac:dyDescent="0.2">
      <c r="C24" s="151">
        <f>SUM(C12:C18)</f>
        <v>8.1699999999999995E-2</v>
      </c>
      <c r="F24" s="151"/>
    </row>
    <row r="25" spans="1:25" s="15" customFormat="1" ht="12.75" x14ac:dyDescent="0.2">
      <c r="C25" s="15">
        <f>+C24*100</f>
        <v>8.17</v>
      </c>
    </row>
    <row r="26" spans="1:25" s="15" customFormat="1" ht="46.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5" s="15" customFormat="1" ht="16.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5" s="15" customFormat="1" ht="12.75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5" s="15" customFormat="1" ht="12.75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5" s="15" customFormat="1" ht="12.75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5" s="15" customFormat="1" ht="12.75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5" s="15" customFormat="1" ht="12.75" x14ac:dyDescent="0.2"/>
    <row r="33" s="15" customFormat="1" ht="12.75" x14ac:dyDescent="0.2"/>
    <row r="34" s="15" customFormat="1" ht="12.75" x14ac:dyDescent="0.2"/>
    <row r="35" s="15" customFormat="1" ht="12.75" x14ac:dyDescent="0.2"/>
    <row r="36" s="15" customFormat="1" ht="12.75" x14ac:dyDescent="0.2"/>
    <row r="37" s="15" customFormat="1" ht="12.75" x14ac:dyDescent="0.2"/>
    <row r="38" s="15" customFormat="1" ht="12.75" x14ac:dyDescent="0.2"/>
    <row r="39" s="15" customFormat="1" ht="12.75" x14ac:dyDescent="0.2"/>
    <row r="40" s="15" customFormat="1" ht="12.75" x14ac:dyDescent="0.2"/>
    <row r="41" s="15" customFormat="1" ht="12.75" x14ac:dyDescent="0.2"/>
    <row r="42" s="15" customFormat="1" ht="12.75" x14ac:dyDescent="0.2"/>
    <row r="43" s="15" customFormat="1" ht="12.75" x14ac:dyDescent="0.2"/>
    <row r="44" s="15" customFormat="1" ht="12.75" x14ac:dyDescent="0.2"/>
    <row r="45" s="15" customFormat="1" ht="12.75" x14ac:dyDescent="0.2"/>
    <row r="46" s="15" customFormat="1" ht="12.75" x14ac:dyDescent="0.2"/>
    <row r="47" s="15" customFormat="1" ht="12.75" x14ac:dyDescent="0.2"/>
    <row r="48" s="15" customFormat="1" ht="12.75" x14ac:dyDescent="0.2"/>
    <row r="49" s="15" customFormat="1" ht="12.75" x14ac:dyDescent="0.2"/>
    <row r="50" s="15" customFormat="1" ht="12.75" x14ac:dyDescent="0.2"/>
    <row r="51" s="15" customFormat="1" ht="12.75" x14ac:dyDescent="0.2"/>
    <row r="52" s="15" customFormat="1" ht="12.75" x14ac:dyDescent="0.2"/>
    <row r="53" s="15" customFormat="1" ht="12.75" x14ac:dyDescent="0.2"/>
    <row r="54" s="15" customFormat="1" ht="12.75" x14ac:dyDescent="0.2"/>
    <row r="55" s="15" customFormat="1" ht="12.75" x14ac:dyDescent="0.2"/>
    <row r="56" s="15" customFormat="1" ht="12.75" x14ac:dyDescent="0.2"/>
    <row r="57" s="15" customFormat="1" ht="12.75" x14ac:dyDescent="0.2"/>
    <row r="58" s="15" customFormat="1" ht="12.75" x14ac:dyDescent="0.2"/>
    <row r="59" s="15" customFormat="1" ht="12.75" x14ac:dyDescent="0.2"/>
    <row r="60" s="15" customFormat="1" ht="12.75" x14ac:dyDescent="0.2"/>
    <row r="61" s="15" customFormat="1" ht="12.75" x14ac:dyDescent="0.2"/>
    <row r="62" s="15" customFormat="1" ht="12.75" x14ac:dyDescent="0.2"/>
    <row r="63" s="15" customFormat="1" ht="12.75" x14ac:dyDescent="0.2"/>
    <row r="64" s="15" customFormat="1" ht="12.75" x14ac:dyDescent="0.2"/>
    <row r="65" s="15" customFormat="1" ht="12.75" x14ac:dyDescent="0.2"/>
    <row r="66" s="15" customFormat="1" ht="12.75" x14ac:dyDescent="0.2"/>
  </sheetData>
  <mergeCells count="63">
    <mergeCell ref="C12:C18"/>
    <mergeCell ref="O9:O10"/>
    <mergeCell ref="P9:P10"/>
    <mergeCell ref="X9:X10"/>
    <mergeCell ref="S9:S10"/>
    <mergeCell ref="R9:R10"/>
    <mergeCell ref="V9:V10"/>
    <mergeCell ref="R11:R12"/>
    <mergeCell ref="A11:G11"/>
    <mergeCell ref="H11:H12"/>
    <mergeCell ref="I11:I12"/>
    <mergeCell ref="J11:J12"/>
    <mergeCell ref="K11:K12"/>
    <mergeCell ref="L11:L12"/>
    <mergeCell ref="M11:M12"/>
    <mergeCell ref="N11:N12"/>
    <mergeCell ref="A7:Y7"/>
    <mergeCell ref="A1:D3"/>
    <mergeCell ref="E1:Y3"/>
    <mergeCell ref="A4:Y4"/>
    <mergeCell ref="A5:Y5"/>
    <mergeCell ref="A6:Y6"/>
    <mergeCell ref="A8:N8"/>
    <mergeCell ref="O8:R8"/>
    <mergeCell ref="V8:Y8"/>
    <mergeCell ref="A9:A10"/>
    <mergeCell ref="B9:B10"/>
    <mergeCell ref="C9:C10"/>
    <mergeCell ref="D9:E10"/>
    <mergeCell ref="F9:F10"/>
    <mergeCell ref="W9:W10"/>
    <mergeCell ref="T9:T10"/>
    <mergeCell ref="U9:U10"/>
    <mergeCell ref="Q9:Q10"/>
    <mergeCell ref="G9:G10"/>
    <mergeCell ref="H9:M9"/>
    <mergeCell ref="Y9:Y10"/>
    <mergeCell ref="N9:N10"/>
    <mergeCell ref="P11:P12"/>
    <mergeCell ref="Q11:Q12"/>
    <mergeCell ref="Y11:Y12"/>
    <mergeCell ref="S11:S12"/>
    <mergeCell ref="T11:T12"/>
    <mergeCell ref="U11:U12"/>
    <mergeCell ref="V11:V12"/>
    <mergeCell ref="W11:W12"/>
    <mergeCell ref="X11:X12"/>
    <mergeCell ref="O15:R15"/>
    <mergeCell ref="O16:R16"/>
    <mergeCell ref="O17:R17"/>
    <mergeCell ref="A19:T19"/>
    <mergeCell ref="V19:Y19"/>
    <mergeCell ref="A12:A18"/>
    <mergeCell ref="B12:B18"/>
    <mergeCell ref="D12:E12"/>
    <mergeCell ref="F12:F17"/>
    <mergeCell ref="D13:E13"/>
    <mergeCell ref="D14:E14"/>
    <mergeCell ref="D15:E15"/>
    <mergeCell ref="D16:E16"/>
    <mergeCell ref="D17:E17"/>
    <mergeCell ref="D18:E18"/>
    <mergeCell ref="O11:O12"/>
  </mergeCells>
  <pageMargins left="0.7" right="0.7" top="0.75" bottom="0.75" header="0.3" footer="0.3"/>
  <pageSetup orientation="portrait" horizontalDpi="4294967292" verticalDpi="4294967292" r:id="rId1"/>
  <ignoredErrors>
    <ignoredError sqref="F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28"/>
  <sheetViews>
    <sheetView showGridLines="0" zoomScale="70" zoomScaleNormal="70" zoomScalePageLayoutView="85" workbookViewId="0">
      <selection activeCell="Q19" sqref="Q19"/>
    </sheetView>
  </sheetViews>
  <sheetFormatPr baseColWidth="10" defaultColWidth="0" defaultRowHeight="12.75" customHeight="1" x14ac:dyDescent="0.2"/>
  <cols>
    <col min="1" max="1" width="21.42578125" style="1" customWidth="1"/>
    <col min="2" max="2" width="22.140625" style="1" customWidth="1"/>
    <col min="3" max="3" width="10.28515625" style="1" customWidth="1"/>
    <col min="4" max="5" width="20.7109375" style="1" customWidth="1"/>
    <col min="6" max="6" width="10.28515625" style="1" customWidth="1"/>
    <col min="7" max="7" width="15.28515625" style="1" bestFit="1" customWidth="1"/>
    <col min="8" max="8" width="15.28515625" style="1" customWidth="1"/>
    <col min="9" max="9" width="39.42578125" style="1" customWidth="1"/>
    <col min="10" max="10" width="16.7109375" style="1" customWidth="1"/>
    <col min="11" max="11" width="20.28515625" style="1" customWidth="1"/>
    <col min="12" max="12" width="14.42578125" style="1" customWidth="1"/>
    <col min="13" max="13" width="18.28515625" style="1" bestFit="1" customWidth="1"/>
    <col min="14" max="14" width="10.5703125" style="1" customWidth="1"/>
    <col min="15" max="15" width="15.5703125" style="1" bestFit="1" customWidth="1"/>
    <col min="16" max="16" width="14.42578125" style="1" customWidth="1"/>
    <col min="17" max="17" width="14.5703125" style="1" customWidth="1"/>
    <col min="18" max="18" width="14.140625" style="1" customWidth="1"/>
    <col min="19" max="20" width="17.28515625" style="1" customWidth="1"/>
    <col min="21" max="21" width="17.7109375" style="1" customWidth="1"/>
    <col min="22" max="25" width="22.85546875" style="1" customWidth="1"/>
    <col min="26" max="26" width="8.7109375" style="1" customWidth="1"/>
    <col min="27" max="31" width="0" style="1" hidden="1" customWidth="1"/>
    <col min="32" max="16384" width="11.42578125" style="1" hidden="1"/>
  </cols>
  <sheetData>
    <row r="1" spans="1:26" ht="18.75" customHeight="1" x14ac:dyDescent="0.2">
      <c r="A1" s="348"/>
      <c r="B1" s="348"/>
      <c r="C1" s="348"/>
      <c r="D1" s="348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6" ht="13.5" customHeight="1" x14ac:dyDescent="0.2">
      <c r="A2" s="348"/>
      <c r="B2" s="348"/>
      <c r="C2" s="348"/>
      <c r="D2" s="348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6" ht="13.5" customHeight="1" x14ac:dyDescent="0.2">
      <c r="A3" s="348"/>
      <c r="B3" s="348"/>
      <c r="C3" s="348"/>
      <c r="D3" s="348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6" x14ac:dyDescent="0.2">
      <c r="A4" s="360" t="s">
        <v>28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6" x14ac:dyDescent="0.2">
      <c r="A5" s="360" t="s">
        <v>115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1:26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1:26" ht="15.75" customHeight="1" x14ac:dyDescent="0.2">
      <c r="A7" s="326"/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</row>
    <row r="8" spans="1:26" ht="15.75" customHeight="1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122"/>
      <c r="T8" s="122"/>
      <c r="U8" s="122"/>
      <c r="V8" s="344" t="s">
        <v>4</v>
      </c>
      <c r="W8" s="344"/>
      <c r="X8" s="344"/>
      <c r="Y8" s="344"/>
      <c r="Z8" s="13"/>
    </row>
    <row r="9" spans="1:26" ht="11.2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341" t="s">
        <v>8</v>
      </c>
      <c r="I9" s="341"/>
      <c r="J9" s="341"/>
      <c r="K9" s="341"/>
      <c r="L9" s="341"/>
      <c r="M9" s="341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327" t="s">
        <v>11</v>
      </c>
      <c r="W9" s="327" t="s">
        <v>12</v>
      </c>
      <c r="X9" s="327" t="s">
        <v>13</v>
      </c>
      <c r="Y9" s="327" t="s">
        <v>14</v>
      </c>
    </row>
    <row r="10" spans="1:26" ht="43.5" customHeight="1" x14ac:dyDescent="0.2">
      <c r="A10" s="341"/>
      <c r="B10" s="341"/>
      <c r="C10" s="343"/>
      <c r="D10" s="341"/>
      <c r="E10" s="341"/>
      <c r="F10" s="343"/>
      <c r="G10" s="341"/>
      <c r="H10" s="122" t="s">
        <v>47</v>
      </c>
      <c r="I10" s="130" t="s">
        <v>46</v>
      </c>
      <c r="J10" s="130" t="s">
        <v>51</v>
      </c>
      <c r="K10" s="122" t="s">
        <v>35</v>
      </c>
      <c r="L10" s="130" t="s">
        <v>52</v>
      </c>
      <c r="M10" s="130" t="s">
        <v>56</v>
      </c>
      <c r="N10" s="343"/>
      <c r="O10" s="327"/>
      <c r="P10" s="327"/>
      <c r="Q10" s="327"/>
      <c r="R10" s="327"/>
      <c r="S10" s="343"/>
      <c r="T10" s="343"/>
      <c r="U10" s="343"/>
      <c r="V10" s="328"/>
      <c r="W10" s="327"/>
      <c r="X10" s="328"/>
      <c r="Y10" s="328"/>
    </row>
    <row r="11" spans="1:26" ht="12.75" customHeight="1" x14ac:dyDescent="0.2">
      <c r="A11" s="329" t="s">
        <v>207</v>
      </c>
      <c r="B11" s="329"/>
      <c r="C11" s="329"/>
      <c r="D11" s="329"/>
      <c r="E11" s="329"/>
      <c r="F11" s="329"/>
      <c r="G11" s="329"/>
      <c r="H11" s="409" t="s">
        <v>209</v>
      </c>
      <c r="I11" s="339" t="s">
        <v>208</v>
      </c>
      <c r="J11" s="473" t="s">
        <v>39</v>
      </c>
      <c r="K11" s="339" t="s">
        <v>210</v>
      </c>
      <c r="L11" s="473" t="s">
        <v>34</v>
      </c>
      <c r="M11" s="471">
        <v>1000000000</v>
      </c>
      <c r="N11" s="372">
        <v>0.08</v>
      </c>
      <c r="O11" s="469"/>
      <c r="P11" s="469"/>
      <c r="Q11" s="469"/>
      <c r="R11" s="469"/>
      <c r="S11" s="467">
        <f>SUM(O11:R12)/M11</f>
        <v>0</v>
      </c>
      <c r="T11" s="459">
        <f>IF(S11&lt;=100%,S11*N11,N11)</f>
        <v>0</v>
      </c>
      <c r="U11" s="362">
        <f>+(T11/C17)*100</f>
        <v>0</v>
      </c>
      <c r="V11" s="364"/>
      <c r="W11" s="364"/>
      <c r="X11" s="364"/>
      <c r="Y11" s="364"/>
    </row>
    <row r="12" spans="1:26" ht="61.5" customHeight="1" x14ac:dyDescent="0.2">
      <c r="A12" s="339" t="s">
        <v>128</v>
      </c>
      <c r="B12" s="383" t="s">
        <v>17</v>
      </c>
      <c r="C12" s="372">
        <f>+SUM(F12:F13)</f>
        <v>0.09</v>
      </c>
      <c r="D12" s="367" t="s">
        <v>352</v>
      </c>
      <c r="E12" s="368"/>
      <c r="F12" s="124">
        <f>+N11</f>
        <v>0.08</v>
      </c>
      <c r="G12" s="121" t="s">
        <v>29</v>
      </c>
      <c r="H12" s="410"/>
      <c r="I12" s="340"/>
      <c r="J12" s="474"/>
      <c r="K12" s="340"/>
      <c r="L12" s="474"/>
      <c r="M12" s="472"/>
      <c r="N12" s="374"/>
      <c r="O12" s="470"/>
      <c r="P12" s="470"/>
      <c r="Q12" s="470"/>
      <c r="R12" s="470"/>
      <c r="S12" s="468"/>
      <c r="T12" s="460"/>
      <c r="U12" s="363"/>
      <c r="V12" s="365"/>
      <c r="W12" s="365"/>
      <c r="X12" s="365"/>
      <c r="Y12" s="365"/>
    </row>
    <row r="13" spans="1:26" ht="72.75" customHeight="1" x14ac:dyDescent="0.2">
      <c r="A13" s="382"/>
      <c r="B13" s="384"/>
      <c r="C13" s="373"/>
      <c r="D13" s="330" t="s">
        <v>30</v>
      </c>
      <c r="E13" s="330"/>
      <c r="F13" s="127">
        <f>+N13</f>
        <v>0.01</v>
      </c>
      <c r="G13" s="121" t="s">
        <v>29</v>
      </c>
      <c r="H13" s="121" t="s">
        <v>63</v>
      </c>
      <c r="I13" s="121" t="s">
        <v>353</v>
      </c>
      <c r="J13" s="121" t="s">
        <v>39</v>
      </c>
      <c r="K13" s="121" t="s">
        <v>31</v>
      </c>
      <c r="L13" s="121" t="s">
        <v>34</v>
      </c>
      <c r="M13" s="280">
        <v>8500</v>
      </c>
      <c r="N13" s="124">
        <v>0.01</v>
      </c>
      <c r="O13" s="304"/>
      <c r="P13" s="140"/>
      <c r="Q13" s="243"/>
      <c r="R13" s="192"/>
      <c r="S13" s="126">
        <f>SUM(O13:R13)/M13</f>
        <v>0</v>
      </c>
      <c r="T13" s="123">
        <f>IF(S13&lt;=100%,S13*N13,N13)</f>
        <v>0</v>
      </c>
      <c r="U13" s="123">
        <f>(T13/C17)*100</f>
        <v>0</v>
      </c>
      <c r="V13" s="303"/>
      <c r="W13" s="240"/>
      <c r="X13" s="29"/>
      <c r="Y13" s="190"/>
    </row>
    <row r="14" spans="1:26" ht="16.5" customHeight="1" x14ac:dyDescent="0.2">
      <c r="A14" s="366" t="s">
        <v>16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57">
        <f>SUM(U11:U13)</f>
        <v>0</v>
      </c>
      <c r="V14" s="326"/>
      <c r="W14" s="326"/>
      <c r="X14" s="326"/>
      <c r="Y14" s="326"/>
    </row>
    <row r="15" spans="1:26" x14ac:dyDescent="0.2">
      <c r="U15" s="13"/>
    </row>
    <row r="16" spans="1:26" ht="38.25" customHeight="1" x14ac:dyDescent="0.2">
      <c r="C16" s="146">
        <f>+C13+C12</f>
        <v>0.09</v>
      </c>
      <c r="F16" s="146"/>
      <c r="P16" s="207"/>
      <c r="Q16" s="207"/>
      <c r="R16" s="207"/>
      <c r="Y16" s="119" t="s">
        <v>313</v>
      </c>
    </row>
    <row r="17" spans="2:21" ht="12.75" customHeight="1" x14ac:dyDescent="0.2">
      <c r="C17" s="1">
        <f>+C16*100</f>
        <v>9</v>
      </c>
    </row>
    <row r="23" spans="2:2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mergeCells count="54">
    <mergeCell ref="A8:N8"/>
    <mergeCell ref="O8:R8"/>
    <mergeCell ref="V8:Y8"/>
    <mergeCell ref="A7:Y7"/>
    <mergeCell ref="R9:R10"/>
    <mergeCell ref="F9:F10"/>
    <mergeCell ref="H9:M9"/>
    <mergeCell ref="N9:N10"/>
    <mergeCell ref="O9:O10"/>
    <mergeCell ref="P9:P10"/>
    <mergeCell ref="A4:Y4"/>
    <mergeCell ref="A1:D3"/>
    <mergeCell ref="E1:Y3"/>
    <mergeCell ref="A5:Y5"/>
    <mergeCell ref="A6:Y6"/>
    <mergeCell ref="A14:T14"/>
    <mergeCell ref="V14:Y14"/>
    <mergeCell ref="Y9:Y10"/>
    <mergeCell ref="D13:E13"/>
    <mergeCell ref="S9:S10"/>
    <mergeCell ref="T9:T10"/>
    <mergeCell ref="U9:U10"/>
    <mergeCell ref="V9:V10"/>
    <mergeCell ref="W9:W10"/>
    <mergeCell ref="X9:X10"/>
    <mergeCell ref="Q9:Q10"/>
    <mergeCell ref="G9:G10"/>
    <mergeCell ref="A9:A10"/>
    <mergeCell ref="B9:B10"/>
    <mergeCell ref="C9:C10"/>
    <mergeCell ref="D9:E10"/>
    <mergeCell ref="A12:A13"/>
    <mergeCell ref="B12:B13"/>
    <mergeCell ref="D12:E12"/>
    <mergeCell ref="A11:G11"/>
    <mergeCell ref="J11:J12"/>
    <mergeCell ref="I11:I12"/>
    <mergeCell ref="H11:H12"/>
    <mergeCell ref="X11:X12"/>
    <mergeCell ref="Y11:Y12"/>
    <mergeCell ref="C12:C13"/>
    <mergeCell ref="S11:S12"/>
    <mergeCell ref="T11:T12"/>
    <mergeCell ref="V11:V12"/>
    <mergeCell ref="W11:W12"/>
    <mergeCell ref="P11:P12"/>
    <mergeCell ref="Q11:Q12"/>
    <mergeCell ref="R11:R12"/>
    <mergeCell ref="N11:N12"/>
    <mergeCell ref="O11:O12"/>
    <mergeCell ref="U11:U12"/>
    <mergeCell ref="M11:M12"/>
    <mergeCell ref="L11:L12"/>
    <mergeCell ref="K11:K12"/>
  </mergeCells>
  <pageMargins left="0.70866141732283472" right="0.70866141732283472" top="0.74803149606299213" bottom="0.74803149606299213" header="0.31496062992125984" footer="0.31496062992125984"/>
  <pageSetup paperSize="133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24"/>
  <sheetViews>
    <sheetView showGridLines="0" zoomScale="70" zoomScaleNormal="70" workbookViewId="0">
      <selection activeCell="L31" sqref="L31"/>
    </sheetView>
  </sheetViews>
  <sheetFormatPr baseColWidth="10" defaultRowHeight="12.75" x14ac:dyDescent="0.2"/>
  <cols>
    <col min="1" max="1" width="19.7109375" style="23" customWidth="1"/>
    <col min="2" max="2" width="19.42578125" style="12" customWidth="1"/>
    <col min="3" max="3" width="10.42578125" style="12" customWidth="1"/>
    <col min="4" max="4" width="16.5703125" style="12" customWidth="1"/>
    <col min="5" max="5" width="19.7109375" style="12" customWidth="1"/>
    <col min="6" max="6" width="10.140625" style="12" customWidth="1"/>
    <col min="7" max="7" width="14.7109375" style="23" customWidth="1"/>
    <col min="8" max="8" width="21" style="12" customWidth="1"/>
    <col min="9" max="9" width="26.5703125" style="12" customWidth="1"/>
    <col min="10" max="10" width="10.7109375" style="12" customWidth="1"/>
    <col min="11" max="11" width="25.42578125" style="12" customWidth="1"/>
    <col min="12" max="12" width="12.42578125" style="12" customWidth="1"/>
    <col min="13" max="13" width="13.42578125" style="12" customWidth="1"/>
    <col min="14" max="14" width="10.28515625" style="12" customWidth="1"/>
    <col min="15" max="15" width="13.42578125" style="12" customWidth="1"/>
    <col min="16" max="16" width="13.7109375" style="12" customWidth="1"/>
    <col min="17" max="17" width="13.42578125" style="12" customWidth="1"/>
    <col min="18" max="18" width="14" style="12" customWidth="1"/>
    <col min="19" max="19" width="13" style="23" customWidth="1"/>
    <col min="20" max="20" width="14.85546875" style="23" customWidth="1"/>
    <col min="21" max="21" width="12.42578125" style="23" customWidth="1"/>
    <col min="22" max="22" width="36" style="135" customWidth="1"/>
    <col min="23" max="25" width="35.7109375" style="12" customWidth="1"/>
    <col min="26" max="16384" width="11.42578125" style="12"/>
  </cols>
  <sheetData>
    <row r="1" spans="1:25" ht="13.5" customHeight="1" x14ac:dyDescent="0.2">
      <c r="A1" s="477" t="s">
        <v>139</v>
      </c>
      <c r="B1" s="477"/>
      <c r="C1" s="477"/>
      <c r="D1" s="477"/>
      <c r="E1" s="349" t="s">
        <v>0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1"/>
    </row>
    <row r="2" spans="1:25" ht="13.5" customHeight="1" x14ac:dyDescent="0.2">
      <c r="A2" s="477"/>
      <c r="B2" s="477"/>
      <c r="C2" s="477"/>
      <c r="D2" s="477"/>
      <c r="E2" s="352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4"/>
    </row>
    <row r="3" spans="1:25" ht="13.5" customHeight="1" x14ac:dyDescent="0.2">
      <c r="A3" s="477"/>
      <c r="B3" s="477"/>
      <c r="C3" s="477"/>
      <c r="D3" s="477"/>
      <c r="E3" s="355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</row>
    <row r="4" spans="1:25" x14ac:dyDescent="0.2">
      <c r="A4" s="360" t="s">
        <v>100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1:25" x14ac:dyDescent="0.2">
      <c r="A5" s="360" t="s">
        <v>124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 t="e">
        <f>SUM(#REF!)</f>
        <v>#REF!</v>
      </c>
      <c r="W5" s="360"/>
      <c r="X5" s="360"/>
      <c r="Y5" s="360"/>
    </row>
    <row r="6" spans="1:25" x14ac:dyDescent="0.2">
      <c r="A6" s="360" t="s">
        <v>413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 t="e">
        <f>SUM(#REF!)</f>
        <v>#REF!</v>
      </c>
      <c r="W6" s="360"/>
      <c r="X6" s="360"/>
      <c r="Y6" s="360"/>
    </row>
    <row r="7" spans="1:25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7"/>
    </row>
    <row r="8" spans="1:25" x14ac:dyDescent="0.2">
      <c r="A8" s="358" t="s">
        <v>2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41" t="s">
        <v>3</v>
      </c>
      <c r="P8" s="341"/>
      <c r="Q8" s="341"/>
      <c r="R8" s="341"/>
      <c r="S8" s="67"/>
      <c r="T8" s="67"/>
      <c r="U8" s="67"/>
      <c r="V8" s="344" t="s">
        <v>4</v>
      </c>
      <c r="W8" s="344"/>
      <c r="X8" s="344"/>
      <c r="Y8" s="344"/>
    </row>
    <row r="9" spans="1:25" ht="12.75" customHeight="1" x14ac:dyDescent="0.2">
      <c r="A9" s="341" t="s">
        <v>137</v>
      </c>
      <c r="B9" s="341" t="s">
        <v>362</v>
      </c>
      <c r="C9" s="343" t="s">
        <v>5</v>
      </c>
      <c r="D9" s="341" t="s">
        <v>6</v>
      </c>
      <c r="E9" s="341"/>
      <c r="F9" s="343" t="s">
        <v>5</v>
      </c>
      <c r="G9" s="341" t="s">
        <v>7</v>
      </c>
      <c r="H9" s="437" t="s">
        <v>45</v>
      </c>
      <c r="I9" s="437"/>
      <c r="J9" s="437"/>
      <c r="K9" s="437"/>
      <c r="L9" s="437"/>
      <c r="M9" s="437"/>
      <c r="N9" s="343" t="s">
        <v>5</v>
      </c>
      <c r="O9" s="327" t="s">
        <v>371</v>
      </c>
      <c r="P9" s="327" t="s">
        <v>384</v>
      </c>
      <c r="Q9" s="327" t="s">
        <v>385</v>
      </c>
      <c r="R9" s="327" t="s">
        <v>386</v>
      </c>
      <c r="S9" s="343" t="s">
        <v>412</v>
      </c>
      <c r="T9" s="343" t="s">
        <v>9</v>
      </c>
      <c r="U9" s="343" t="s">
        <v>10</v>
      </c>
      <c r="V9" s="478" t="s">
        <v>11</v>
      </c>
      <c r="W9" s="327" t="s">
        <v>12</v>
      </c>
      <c r="X9" s="327" t="s">
        <v>13</v>
      </c>
      <c r="Y9" s="327" t="s">
        <v>14</v>
      </c>
    </row>
    <row r="10" spans="1:25" ht="57.75" customHeight="1" x14ac:dyDescent="0.2">
      <c r="A10" s="341"/>
      <c r="B10" s="341"/>
      <c r="C10" s="343"/>
      <c r="D10" s="341"/>
      <c r="E10" s="341"/>
      <c r="F10" s="343"/>
      <c r="G10" s="341"/>
      <c r="H10" s="43" t="s">
        <v>47</v>
      </c>
      <c r="I10" s="70" t="s">
        <v>46</v>
      </c>
      <c r="J10" s="70" t="s">
        <v>51</v>
      </c>
      <c r="K10" s="43" t="s">
        <v>35</v>
      </c>
      <c r="L10" s="70" t="s">
        <v>52</v>
      </c>
      <c r="M10" s="70" t="s">
        <v>82</v>
      </c>
      <c r="N10" s="343"/>
      <c r="O10" s="327"/>
      <c r="P10" s="327"/>
      <c r="Q10" s="327"/>
      <c r="R10" s="327"/>
      <c r="S10" s="343"/>
      <c r="T10" s="343"/>
      <c r="U10" s="343"/>
      <c r="V10" s="454"/>
      <c r="W10" s="327"/>
      <c r="X10" s="328"/>
      <c r="Y10" s="328"/>
    </row>
    <row r="11" spans="1:25" s="1" customFormat="1" x14ac:dyDescent="0.2">
      <c r="A11" s="329" t="s">
        <v>289</v>
      </c>
      <c r="B11" s="329"/>
      <c r="C11" s="329"/>
      <c r="D11" s="329"/>
      <c r="E11" s="329"/>
      <c r="F11" s="329"/>
      <c r="G11" s="329"/>
      <c r="H11" s="330" t="s">
        <v>266</v>
      </c>
      <c r="I11" s="330" t="s">
        <v>267</v>
      </c>
      <c r="J11" s="330" t="s">
        <v>53</v>
      </c>
      <c r="K11" s="330" t="s">
        <v>268</v>
      </c>
      <c r="L11" s="330" t="s">
        <v>34</v>
      </c>
      <c r="M11" s="476">
        <v>1</v>
      </c>
      <c r="N11" s="333">
        <v>1E-3</v>
      </c>
      <c r="O11" s="476"/>
      <c r="P11" s="476"/>
      <c r="Q11" s="476"/>
      <c r="R11" s="476"/>
      <c r="S11" s="342">
        <f>SUM(O11:R12)/M11</f>
        <v>0</v>
      </c>
      <c r="T11" s="459">
        <f>IF(S11&lt;=100%,S11*N11,N11)</f>
        <v>0</v>
      </c>
      <c r="U11" s="467">
        <f>+(T11/C24)*100</f>
        <v>0</v>
      </c>
      <c r="V11" s="364"/>
      <c r="W11" s="434"/>
      <c r="X11" s="434"/>
      <c r="Y11" s="434"/>
    </row>
    <row r="12" spans="1:25" s="1" customFormat="1" ht="63" customHeight="1" x14ac:dyDescent="0.2">
      <c r="A12" s="330" t="str">
        <f>+'Plan de desarrollo'!B4</f>
        <v>DIMENSIÓN 1: Creemos en la cultura ciudadana</v>
      </c>
      <c r="B12" s="330" t="str">
        <f>+'Objetivos Estratégicos'!B8</f>
        <v xml:space="preserve">Aumentar el nivel de desempeño individual y colectivo, mediante el desarrollo de competencias. </v>
      </c>
      <c r="C12" s="485">
        <f>SUM(F12:F14)</f>
        <v>3.0000000000000001E-3</v>
      </c>
      <c r="D12" s="330" t="s">
        <v>287</v>
      </c>
      <c r="E12" s="330"/>
      <c r="F12" s="66">
        <f>+N11</f>
        <v>1E-3</v>
      </c>
      <c r="G12" s="63" t="s">
        <v>273</v>
      </c>
      <c r="H12" s="331"/>
      <c r="I12" s="331"/>
      <c r="J12" s="475"/>
      <c r="K12" s="331"/>
      <c r="L12" s="331"/>
      <c r="M12" s="476"/>
      <c r="N12" s="331"/>
      <c r="O12" s="476"/>
      <c r="P12" s="476"/>
      <c r="Q12" s="476"/>
      <c r="R12" s="476"/>
      <c r="S12" s="342"/>
      <c r="T12" s="460"/>
      <c r="U12" s="468"/>
      <c r="V12" s="365"/>
      <c r="W12" s="434"/>
      <c r="X12" s="434"/>
      <c r="Y12" s="434"/>
    </row>
    <row r="13" spans="1:25" ht="63.75" x14ac:dyDescent="0.2">
      <c r="A13" s="330"/>
      <c r="B13" s="330"/>
      <c r="C13" s="485"/>
      <c r="D13" s="330" t="s">
        <v>288</v>
      </c>
      <c r="E13" s="330"/>
      <c r="F13" s="66">
        <f>+N13</f>
        <v>1E-3</v>
      </c>
      <c r="G13" s="63" t="s">
        <v>273</v>
      </c>
      <c r="H13" s="63" t="s">
        <v>270</v>
      </c>
      <c r="I13" s="83" t="s">
        <v>271</v>
      </c>
      <c r="J13" s="83" t="s">
        <v>53</v>
      </c>
      <c r="K13" s="83" t="s">
        <v>272</v>
      </c>
      <c r="L13" s="63" t="s">
        <v>34</v>
      </c>
      <c r="M13" s="283">
        <v>0.9</v>
      </c>
      <c r="N13" s="66">
        <v>1E-3</v>
      </c>
      <c r="O13" s="317"/>
      <c r="P13" s="160"/>
      <c r="Q13" s="182"/>
      <c r="R13" s="264"/>
      <c r="S13" s="66">
        <f>SUM(O13:R13)/M13</f>
        <v>0</v>
      </c>
      <c r="T13" s="66">
        <f>IF(S13&lt;=100%,S13*N13,N13)</f>
        <v>0</v>
      </c>
      <c r="U13" s="66">
        <f>(T13/C24)*100</f>
        <v>0</v>
      </c>
      <c r="V13" s="152"/>
      <c r="W13" s="152"/>
      <c r="X13" s="152"/>
      <c r="Y13" s="152"/>
    </row>
    <row r="14" spans="1:25" s="1" customFormat="1" ht="86.25" customHeight="1" x14ac:dyDescent="0.2">
      <c r="A14" s="330"/>
      <c r="B14" s="330"/>
      <c r="C14" s="485"/>
      <c r="D14" s="330" t="s">
        <v>417</v>
      </c>
      <c r="E14" s="330"/>
      <c r="F14" s="66">
        <f>+N14</f>
        <v>1E-3</v>
      </c>
      <c r="G14" s="63" t="s">
        <v>273</v>
      </c>
      <c r="H14" s="63" t="s">
        <v>418</v>
      </c>
      <c r="I14" s="2" t="s">
        <v>419</v>
      </c>
      <c r="J14" s="270" t="s">
        <v>36</v>
      </c>
      <c r="K14" s="270" t="s">
        <v>420</v>
      </c>
      <c r="L14" s="63" t="s">
        <v>68</v>
      </c>
      <c r="M14" s="283">
        <v>0.75</v>
      </c>
      <c r="N14" s="96">
        <v>1E-3</v>
      </c>
      <c r="O14" s="317"/>
      <c r="P14" s="183"/>
      <c r="Q14" s="184"/>
      <c r="R14" s="264"/>
      <c r="S14" s="66">
        <f>SUM(O14:R14)/M14</f>
        <v>0</v>
      </c>
      <c r="T14" s="66">
        <f>IF(S14&lt;=100%,S14*N14,N14)</f>
        <v>0</v>
      </c>
      <c r="U14" s="81">
        <f>(T14/C24)*100</f>
        <v>0</v>
      </c>
      <c r="V14" s="316"/>
      <c r="W14" s="238"/>
      <c r="X14" s="242"/>
      <c r="Y14" s="265"/>
    </row>
    <row r="15" spans="1:25" ht="12.75" customHeight="1" x14ac:dyDescent="0.2">
      <c r="A15" s="481" t="s">
        <v>274</v>
      </c>
      <c r="B15" s="481"/>
      <c r="C15" s="481"/>
      <c r="D15" s="481"/>
      <c r="E15" s="481"/>
      <c r="F15" s="481"/>
      <c r="G15" s="481"/>
      <c r="H15" s="409" t="s">
        <v>421</v>
      </c>
      <c r="I15" s="409" t="s">
        <v>421</v>
      </c>
      <c r="J15" s="409" t="s">
        <v>53</v>
      </c>
      <c r="K15" s="330" t="s">
        <v>275</v>
      </c>
      <c r="L15" s="330" t="s">
        <v>34</v>
      </c>
      <c r="M15" s="476">
        <v>0.9</v>
      </c>
      <c r="N15" s="333">
        <v>0.01</v>
      </c>
      <c r="O15" s="476"/>
      <c r="P15" s="417"/>
      <c r="Q15" s="417"/>
      <c r="R15" s="479"/>
      <c r="S15" s="333">
        <f>SUM(O15:R16)/M15</f>
        <v>0</v>
      </c>
      <c r="T15" s="372">
        <f>IF(S15&lt;=100%,S15*N15,N15)</f>
        <v>0</v>
      </c>
      <c r="U15" s="372">
        <f>(T15/C24)*100</f>
        <v>0</v>
      </c>
      <c r="V15" s="439"/>
      <c r="W15" s="439"/>
      <c r="X15" s="439"/>
      <c r="Y15" s="439"/>
    </row>
    <row r="16" spans="1:25" ht="103.5" customHeight="1" x14ac:dyDescent="0.2">
      <c r="A16" s="276" t="str">
        <f>+A12</f>
        <v>DIMENSIÓN 1: Creemos en la cultura ciudadana</v>
      </c>
      <c r="B16" s="277" t="s">
        <v>22</v>
      </c>
      <c r="C16" s="279">
        <v>0.01</v>
      </c>
      <c r="D16" s="330" t="s">
        <v>276</v>
      </c>
      <c r="E16" s="330"/>
      <c r="F16" s="66">
        <v>0.01</v>
      </c>
      <c r="G16" s="274" t="s">
        <v>273</v>
      </c>
      <c r="H16" s="410"/>
      <c r="I16" s="410"/>
      <c r="J16" s="410"/>
      <c r="K16" s="330"/>
      <c r="L16" s="330"/>
      <c r="M16" s="476"/>
      <c r="N16" s="333"/>
      <c r="O16" s="476"/>
      <c r="P16" s="417"/>
      <c r="Q16" s="417"/>
      <c r="R16" s="480"/>
      <c r="S16" s="333"/>
      <c r="T16" s="374"/>
      <c r="U16" s="374"/>
      <c r="V16" s="440"/>
      <c r="W16" s="440"/>
      <c r="X16" s="440"/>
      <c r="Y16" s="440"/>
    </row>
    <row r="17" spans="1:25" x14ac:dyDescent="0.2">
      <c r="A17" s="481" t="s">
        <v>277</v>
      </c>
      <c r="B17" s="481"/>
      <c r="C17" s="481"/>
      <c r="D17" s="481"/>
      <c r="E17" s="481"/>
      <c r="F17" s="481"/>
      <c r="G17" s="481"/>
      <c r="H17" s="330" t="s">
        <v>278</v>
      </c>
      <c r="I17" s="330" t="s">
        <v>279</v>
      </c>
      <c r="J17" s="330" t="s">
        <v>53</v>
      </c>
      <c r="K17" s="330" t="s">
        <v>280</v>
      </c>
      <c r="L17" s="330" t="s">
        <v>34</v>
      </c>
      <c r="M17" s="483">
        <v>0.7</v>
      </c>
      <c r="N17" s="333">
        <v>5.0000000000000001E-3</v>
      </c>
      <c r="O17" s="482"/>
      <c r="P17" s="482"/>
      <c r="Q17" s="482"/>
      <c r="R17" s="479"/>
      <c r="S17" s="333">
        <f>SUM(O17:R18)/M17</f>
        <v>0</v>
      </c>
      <c r="T17" s="372">
        <f>IF(S17&lt;=100%,S17*N17,N17)</f>
        <v>0</v>
      </c>
      <c r="U17" s="372">
        <f>(T17/C24)*100</f>
        <v>0</v>
      </c>
      <c r="V17" s="439"/>
      <c r="W17" s="439"/>
      <c r="X17" s="439"/>
      <c r="Y17" s="439"/>
    </row>
    <row r="18" spans="1:25" ht="59.25" customHeight="1" x14ac:dyDescent="0.2">
      <c r="A18" s="64" t="str">
        <f>+A16</f>
        <v>DIMENSIÓN 1: Creemos en la cultura ciudadana</v>
      </c>
      <c r="B18" s="65" t="str">
        <f>+B16</f>
        <v xml:space="preserve">Aumentar el nivel de desempeño individual y colectivo, mediante el desarrollo de competencias. </v>
      </c>
      <c r="C18" s="28">
        <f>+F18</f>
        <v>5.0000000000000001E-3</v>
      </c>
      <c r="D18" s="330" t="s">
        <v>281</v>
      </c>
      <c r="E18" s="330"/>
      <c r="F18" s="66">
        <f>+N17</f>
        <v>5.0000000000000001E-3</v>
      </c>
      <c r="G18" s="63" t="s">
        <v>269</v>
      </c>
      <c r="H18" s="330"/>
      <c r="I18" s="330"/>
      <c r="J18" s="330"/>
      <c r="K18" s="330"/>
      <c r="L18" s="330"/>
      <c r="M18" s="483"/>
      <c r="N18" s="333"/>
      <c r="O18" s="482"/>
      <c r="P18" s="482"/>
      <c r="Q18" s="482"/>
      <c r="R18" s="480"/>
      <c r="S18" s="333"/>
      <c r="T18" s="374"/>
      <c r="U18" s="374"/>
      <c r="V18" s="440"/>
      <c r="W18" s="440"/>
      <c r="X18" s="440"/>
      <c r="Y18" s="440"/>
    </row>
    <row r="19" spans="1:25" x14ac:dyDescent="0.2">
      <c r="A19" s="481" t="s">
        <v>282</v>
      </c>
      <c r="B19" s="481"/>
      <c r="C19" s="481"/>
      <c r="D19" s="481"/>
      <c r="E19" s="481"/>
      <c r="F19" s="481"/>
      <c r="G19" s="481"/>
      <c r="H19" s="330" t="s">
        <v>283</v>
      </c>
      <c r="I19" s="330" t="s">
        <v>284</v>
      </c>
      <c r="J19" s="330" t="s">
        <v>39</v>
      </c>
      <c r="K19" s="330" t="s">
        <v>285</v>
      </c>
      <c r="L19" s="330" t="s">
        <v>83</v>
      </c>
      <c r="M19" s="483">
        <v>1</v>
      </c>
      <c r="N19" s="333">
        <v>5.0000000000000001E-3</v>
      </c>
      <c r="O19" s="483"/>
      <c r="P19" s="484"/>
      <c r="Q19" s="484"/>
      <c r="R19" s="479"/>
      <c r="S19" s="333">
        <f>SUM(O19:R20)/M19</f>
        <v>0</v>
      </c>
      <c r="T19" s="372">
        <f>IF(S19&lt;=100%,S19*N19,N19)</f>
        <v>0</v>
      </c>
      <c r="U19" s="372">
        <f>(T19/C24)*100</f>
        <v>0</v>
      </c>
      <c r="V19" s="439"/>
      <c r="W19" s="439"/>
      <c r="X19" s="439"/>
      <c r="Y19" s="439"/>
    </row>
    <row r="20" spans="1:25" ht="75.75" customHeight="1" x14ac:dyDescent="0.2">
      <c r="A20" s="64" t="str">
        <f>+'Plan de desarrollo'!B4</f>
        <v>DIMENSIÓN 1: Creemos en la cultura ciudadana</v>
      </c>
      <c r="B20" s="65" t="s">
        <v>22</v>
      </c>
      <c r="C20" s="28">
        <f>+F20</f>
        <v>5.0000000000000001E-3</v>
      </c>
      <c r="D20" s="330" t="s">
        <v>286</v>
      </c>
      <c r="E20" s="330"/>
      <c r="F20" s="66">
        <f>+N19</f>
        <v>5.0000000000000001E-3</v>
      </c>
      <c r="G20" s="63" t="s">
        <v>269</v>
      </c>
      <c r="H20" s="330"/>
      <c r="I20" s="330"/>
      <c r="J20" s="330"/>
      <c r="K20" s="330"/>
      <c r="L20" s="330"/>
      <c r="M20" s="483"/>
      <c r="N20" s="333"/>
      <c r="O20" s="483"/>
      <c r="P20" s="484"/>
      <c r="Q20" s="330"/>
      <c r="R20" s="480"/>
      <c r="S20" s="333"/>
      <c r="T20" s="374"/>
      <c r="U20" s="374"/>
      <c r="V20" s="440"/>
      <c r="W20" s="440"/>
      <c r="X20" s="440"/>
      <c r="Y20" s="440"/>
    </row>
    <row r="21" spans="1:25" ht="19.5" customHeight="1" x14ac:dyDescent="0.2">
      <c r="A21" s="366" t="s">
        <v>16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266">
        <f>SUM(U11:U20)</f>
        <v>0</v>
      </c>
      <c r="V21" s="326"/>
      <c r="W21" s="326"/>
      <c r="X21" s="326"/>
      <c r="Y21" s="326"/>
    </row>
    <row r="23" spans="1:25" ht="36" x14ac:dyDescent="0.2">
      <c r="C23" s="21">
        <f>+C12+C16+C18+C20</f>
        <v>2.3000000000000003E-2</v>
      </c>
      <c r="Y23" s="116" t="s">
        <v>313</v>
      </c>
    </row>
    <row r="24" spans="1:25" x14ac:dyDescent="0.2">
      <c r="C24" s="12">
        <f>+C23*100</f>
        <v>2.3000000000000003</v>
      </c>
    </row>
  </sheetData>
  <mergeCells count="115">
    <mergeCell ref="V21:Y21"/>
    <mergeCell ref="D13:E13"/>
    <mergeCell ref="C12:C14"/>
    <mergeCell ref="B12:B14"/>
    <mergeCell ref="A12:A14"/>
    <mergeCell ref="D14:E14"/>
    <mergeCell ref="H15:H16"/>
    <mergeCell ref="P19:P20"/>
    <mergeCell ref="V17:V18"/>
    <mergeCell ref="W17:W18"/>
    <mergeCell ref="X17:X18"/>
    <mergeCell ref="Y17:Y18"/>
    <mergeCell ref="D18:E18"/>
    <mergeCell ref="A17:G17"/>
    <mergeCell ref="H17:H18"/>
    <mergeCell ref="J17:J18"/>
    <mergeCell ref="K17:K18"/>
    <mergeCell ref="L17:L18"/>
    <mergeCell ref="M17:M18"/>
    <mergeCell ref="N17:N18"/>
    <mergeCell ref="O17:O18"/>
    <mergeCell ref="P17:P18"/>
    <mergeCell ref="T17:T18"/>
    <mergeCell ref="U17:U18"/>
    <mergeCell ref="V19:V20"/>
    <mergeCell ref="W19:W20"/>
    <mergeCell ref="X19:X20"/>
    <mergeCell ref="Y19:Y20"/>
    <mergeCell ref="D20:E20"/>
    <mergeCell ref="A19:G19"/>
    <mergeCell ref="H19:H20"/>
    <mergeCell ref="I19:I20"/>
    <mergeCell ref="J19:J20"/>
    <mergeCell ref="K19:K20"/>
    <mergeCell ref="U19:U20"/>
    <mergeCell ref="L19:L20"/>
    <mergeCell ref="M19:M20"/>
    <mergeCell ref="N19:N20"/>
    <mergeCell ref="O19:O20"/>
    <mergeCell ref="Q19:Q20"/>
    <mergeCell ref="R19:R20"/>
    <mergeCell ref="S19:S20"/>
    <mergeCell ref="T19:T20"/>
    <mergeCell ref="J15:J16"/>
    <mergeCell ref="K15:K16"/>
    <mergeCell ref="L15:L16"/>
    <mergeCell ref="M15:M16"/>
    <mergeCell ref="N15:N16"/>
    <mergeCell ref="Q17:Q18"/>
    <mergeCell ref="R17:R18"/>
    <mergeCell ref="S17:S18"/>
    <mergeCell ref="A21:T21"/>
    <mergeCell ref="I17:I18"/>
    <mergeCell ref="A7:Y7"/>
    <mergeCell ref="Q15:Q16"/>
    <mergeCell ref="R15:R16"/>
    <mergeCell ref="S15:S16"/>
    <mergeCell ref="T15:T16"/>
    <mergeCell ref="U15:U16"/>
    <mergeCell ref="O15:O16"/>
    <mergeCell ref="P15:P16"/>
    <mergeCell ref="A15:G15"/>
    <mergeCell ref="D16:E16"/>
    <mergeCell ref="U11:U12"/>
    <mergeCell ref="V11:V12"/>
    <mergeCell ref="W11:W12"/>
    <mergeCell ref="X11:X12"/>
    <mergeCell ref="V15:V16"/>
    <mergeCell ref="W15:W16"/>
    <mergeCell ref="X15:X16"/>
    <mergeCell ref="Y15:Y16"/>
    <mergeCell ref="I15:I16"/>
    <mergeCell ref="S9:S10"/>
    <mergeCell ref="Y11:Y12"/>
    <mergeCell ref="T11:T12"/>
    <mergeCell ref="S11:S12"/>
    <mergeCell ref="T9:T10"/>
    <mergeCell ref="A1:D3"/>
    <mergeCell ref="V9:V10"/>
    <mergeCell ref="W9:W10"/>
    <mergeCell ref="X9:X10"/>
    <mergeCell ref="H9:M9"/>
    <mergeCell ref="N9:N10"/>
    <mergeCell ref="O9:O10"/>
    <mergeCell ref="P9:P10"/>
    <mergeCell ref="Q9:Q10"/>
    <mergeCell ref="R9:R10"/>
    <mergeCell ref="A4:Y4"/>
    <mergeCell ref="C9:C10"/>
    <mergeCell ref="D9:E10"/>
    <mergeCell ref="F9:F10"/>
    <mergeCell ref="G9:G10"/>
    <mergeCell ref="A5:Y5"/>
    <mergeCell ref="A6:Y6"/>
    <mergeCell ref="A8:N8"/>
    <mergeCell ref="O8:R8"/>
    <mergeCell ref="V8:Y8"/>
    <mergeCell ref="A9:A10"/>
    <mergeCell ref="B9:B10"/>
    <mergeCell ref="E1:Y3"/>
    <mergeCell ref="Y9:Y10"/>
    <mergeCell ref="U9:U10"/>
    <mergeCell ref="A11:G11"/>
    <mergeCell ref="H11:H12"/>
    <mergeCell ref="I11:I12"/>
    <mergeCell ref="J11:J12"/>
    <mergeCell ref="K11:K12"/>
    <mergeCell ref="O11:O12"/>
    <mergeCell ref="P11:P12"/>
    <mergeCell ref="Q11:Q12"/>
    <mergeCell ref="R11:R12"/>
    <mergeCell ref="D12:E12"/>
    <mergeCell ref="L11:L12"/>
    <mergeCell ref="M11:M12"/>
    <mergeCell ref="N11:N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Plan de desarrollo</vt:lpstr>
      <vt:lpstr>Objetivos Estratégicos</vt:lpstr>
      <vt:lpstr>Gerencia</vt:lpstr>
      <vt:lpstr>Planeación</vt:lpstr>
      <vt:lpstr>G. Programación</vt:lpstr>
      <vt:lpstr>G. Producción</vt:lpstr>
      <vt:lpstr>G. Agencia y Central.</vt:lpstr>
      <vt:lpstr>G. Técnica.</vt:lpstr>
      <vt:lpstr>G. Humana</vt:lpstr>
      <vt:lpstr>G. Jurídica</vt:lpstr>
      <vt:lpstr>G. Adtiva y Fra</vt:lpstr>
      <vt:lpstr>G. Comunicaciones</vt:lpstr>
      <vt:lpstr>G. Control Interno</vt:lpstr>
      <vt:lpstr>'Objetivos Estratégicos'!Área_de_impresión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2019-06-27T21:52:40Z</cp:lastPrinted>
  <dcterms:created xsi:type="dcterms:W3CDTF">2014-02-10T16:24:57Z</dcterms:created>
  <dcterms:modified xsi:type="dcterms:W3CDTF">2019-07-04T19:53:03Z</dcterms:modified>
</cp:coreProperties>
</file>