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630" tabRatio="518" activeTab="1"/>
  </bookViews>
  <sheets>
    <sheet name="Plan de desarrollo" sheetId="5" r:id="rId1"/>
    <sheet name="Objetivos Estratégicos" sheetId="4" r:id="rId2"/>
    <sheet name="Gerencia" sheetId="1" r:id="rId3"/>
    <sheet name="Planeación" sheetId="6" r:id="rId4"/>
    <sheet name="G. Programación" sheetId="34" r:id="rId5"/>
    <sheet name="G. Producción" sheetId="29" r:id="rId6"/>
    <sheet name="G. Agencia y Central." sheetId="33" r:id="rId7"/>
    <sheet name="G. Técnica." sheetId="23" r:id="rId8"/>
    <sheet name="G. Humana" sheetId="28" r:id="rId9"/>
    <sheet name="G. Jurídica" sheetId="25" r:id="rId10"/>
    <sheet name="G. Adtiva y Fra" sheetId="24" r:id="rId11"/>
    <sheet name="G. Comunicaciones" sheetId="35" r:id="rId12"/>
    <sheet name="G. Control Interno" sheetId="22" r:id="rId13"/>
  </sheets>
  <definedNames>
    <definedName name="_xlnm._FilterDatabase" localSheetId="4" hidden="1">'G. Programación'!$A$10:$AG$51</definedName>
    <definedName name="_xlnm.Print_Area" localSheetId="1">'Objetivos Estratégicos'!$A$1:$D$9</definedName>
  </definedNames>
  <calcPr calcId="162913"/>
</workbook>
</file>

<file path=xl/calcChain.xml><?xml version="1.0" encoding="utf-8"?>
<calcChain xmlns="http://schemas.openxmlformats.org/spreadsheetml/2006/main">
  <c r="C24" i="28" l="1"/>
  <c r="AA16" i="35" l="1"/>
  <c r="AA50" i="34" l="1"/>
  <c r="AA49" i="34"/>
  <c r="AA48" i="34"/>
  <c r="AA47" i="34"/>
  <c r="AA46" i="34"/>
  <c r="AA44" i="34"/>
  <c r="AA42" i="34"/>
  <c r="AA41" i="34"/>
  <c r="AA40" i="34"/>
  <c r="AA39" i="34"/>
  <c r="AA38" i="34"/>
  <c r="AA37" i="34"/>
  <c r="AA36" i="34"/>
  <c r="AA35" i="34"/>
  <c r="AA34" i="34"/>
  <c r="AA33" i="34"/>
  <c r="AA31" i="34"/>
  <c r="AA30" i="34"/>
  <c r="AA29" i="34"/>
  <c r="AA28" i="34"/>
  <c r="AA27" i="34"/>
  <c r="AA26" i="34"/>
  <c r="AA25" i="34"/>
  <c r="AA24" i="34"/>
  <c r="AA23" i="34"/>
  <c r="AA22" i="34"/>
  <c r="AA20" i="34"/>
  <c r="AA19" i="34"/>
  <c r="AA18" i="34"/>
  <c r="AA17" i="34"/>
  <c r="AA16" i="34"/>
  <c r="AA15" i="34"/>
  <c r="AA13" i="34"/>
  <c r="AA11" i="34"/>
  <c r="S19" i="33" l="1"/>
  <c r="S11" i="6" l="1"/>
  <c r="T11" i="6" s="1"/>
  <c r="U11" i="6" s="1"/>
  <c r="AA20" i="35"/>
  <c r="AB20" i="35" s="1"/>
  <c r="F17" i="35"/>
  <c r="F22" i="35"/>
  <c r="C22" i="35"/>
  <c r="F28" i="35"/>
  <c r="C28" i="35"/>
  <c r="F19" i="33"/>
  <c r="C12" i="33"/>
  <c r="F12" i="33"/>
  <c r="C34" i="35"/>
  <c r="F34" i="35"/>
  <c r="AA36" i="35"/>
  <c r="AB36" i="35" s="1"/>
  <c r="AA35" i="35"/>
  <c r="AB35" i="35" s="1"/>
  <c r="AA33" i="35"/>
  <c r="AB33" i="35" s="1"/>
  <c r="AA19" i="24"/>
  <c r="AA18" i="24"/>
  <c r="AB18" i="24" s="1"/>
  <c r="AA13" i="29"/>
  <c r="AA11" i="29"/>
  <c r="B11" i="29"/>
  <c r="A11" i="29"/>
  <c r="AB50" i="34"/>
  <c r="AB37" i="34"/>
  <c r="AB33" i="34"/>
  <c r="AB26" i="34"/>
  <c r="AB25" i="34"/>
  <c r="AB22" i="34"/>
  <c r="AB15" i="34"/>
  <c r="AB11" i="34"/>
  <c r="AC11" i="34" s="1"/>
  <c r="S13" i="6"/>
  <c r="T13" i="6" s="1"/>
  <c r="U13" i="6" s="1"/>
  <c r="S14" i="6"/>
  <c r="T14" i="6"/>
  <c r="U14" i="6" s="1"/>
  <c r="S17" i="6"/>
  <c r="T17" i="6" s="1"/>
  <c r="U17" i="6" s="1"/>
  <c r="S11" i="23"/>
  <c r="T11" i="23" s="1"/>
  <c r="U11" i="23" s="1"/>
  <c r="U14" i="23" s="1"/>
  <c r="D21" i="4" s="1"/>
  <c r="AA32" i="35"/>
  <c r="AB32" i="35"/>
  <c r="AA31" i="35"/>
  <c r="AB31" i="35" s="1"/>
  <c r="AA30" i="35"/>
  <c r="AB30" i="35"/>
  <c r="AA29" i="35"/>
  <c r="AB29" i="35" s="1"/>
  <c r="AA27" i="35"/>
  <c r="AB27" i="35"/>
  <c r="AA26" i="35"/>
  <c r="AB26" i="35" s="1"/>
  <c r="AA25" i="35"/>
  <c r="AB25" i="35" s="1"/>
  <c r="AA24" i="35"/>
  <c r="AB24" i="35" s="1"/>
  <c r="AA23" i="35"/>
  <c r="AB23" i="35"/>
  <c r="AA21" i="35"/>
  <c r="AB21" i="35" s="1"/>
  <c r="AA19" i="35"/>
  <c r="AB19" i="35" s="1"/>
  <c r="AA18" i="35"/>
  <c r="AB18" i="35" s="1"/>
  <c r="AB16" i="35"/>
  <c r="AA15" i="35"/>
  <c r="AB15" i="35" s="1"/>
  <c r="AA14" i="35"/>
  <c r="AB14" i="35" s="1"/>
  <c r="AA13" i="35"/>
  <c r="AB13" i="35" s="1"/>
  <c r="AA11" i="35"/>
  <c r="AB11" i="35" s="1"/>
  <c r="AC11" i="35" s="1"/>
  <c r="AA11" i="24"/>
  <c r="AB11" i="24" s="1"/>
  <c r="AC11" i="24" s="1"/>
  <c r="S13" i="23"/>
  <c r="T19" i="33"/>
  <c r="U19" i="33"/>
  <c r="S13" i="1"/>
  <c r="T13" i="1" s="1"/>
  <c r="U13" i="1" s="1"/>
  <c r="F12" i="23"/>
  <c r="AA13" i="24"/>
  <c r="AB13" i="24" s="1"/>
  <c r="AB13" i="34"/>
  <c r="AB16" i="34"/>
  <c r="AB17" i="34"/>
  <c r="AB20" i="34"/>
  <c r="AB23" i="34"/>
  <c r="AB24" i="34"/>
  <c r="AB31" i="34"/>
  <c r="AB34" i="34"/>
  <c r="AB35" i="34"/>
  <c r="AB18" i="34"/>
  <c r="AB19" i="34"/>
  <c r="AB27" i="34"/>
  <c r="AB28" i="34"/>
  <c r="AB29" i="34"/>
  <c r="AB30" i="34"/>
  <c r="AB36" i="34"/>
  <c r="AB38" i="34"/>
  <c r="AB39" i="34"/>
  <c r="AB40" i="34"/>
  <c r="AB41" i="34"/>
  <c r="AB42" i="34"/>
  <c r="AC42" i="34" s="1"/>
  <c r="AB44" i="34"/>
  <c r="AB46" i="34"/>
  <c r="AB47" i="34"/>
  <c r="AB48" i="34"/>
  <c r="AB49" i="34"/>
  <c r="B34" i="35"/>
  <c r="A28" i="35"/>
  <c r="A34" i="35" s="1"/>
  <c r="B28" i="35"/>
  <c r="B22" i="35"/>
  <c r="A22" i="35"/>
  <c r="C17" i="35"/>
  <c r="B17" i="35"/>
  <c r="A17" i="35"/>
  <c r="F12" i="35"/>
  <c r="C12" i="35" s="1"/>
  <c r="C39" i="35" s="1"/>
  <c r="B12" i="35"/>
  <c r="A12" i="35"/>
  <c r="AD6" i="35"/>
  <c r="AD5" i="35"/>
  <c r="S11" i="22"/>
  <c r="T11" i="22" s="1"/>
  <c r="F11" i="22"/>
  <c r="C11" i="22"/>
  <c r="C14" i="22" s="1"/>
  <c r="B11" i="22"/>
  <c r="N11" i="24"/>
  <c r="AA16" i="24"/>
  <c r="AB16" i="24" s="1"/>
  <c r="AA15" i="24"/>
  <c r="AB15" i="24" s="1"/>
  <c r="AC15" i="24" s="1"/>
  <c r="AA17" i="24"/>
  <c r="AB17" i="24"/>
  <c r="AB19" i="24"/>
  <c r="F19" i="24"/>
  <c r="F18" i="24"/>
  <c r="B18" i="24"/>
  <c r="F17" i="24"/>
  <c r="F16" i="24"/>
  <c r="B16" i="24"/>
  <c r="F14" i="24"/>
  <c r="C14" i="24"/>
  <c r="B14" i="24"/>
  <c r="A14" i="24"/>
  <c r="C12" i="24"/>
  <c r="B12" i="24"/>
  <c r="AD6" i="24"/>
  <c r="T12" i="25"/>
  <c r="U12" i="25" s="1"/>
  <c r="V12" i="25" s="1"/>
  <c r="T13" i="25"/>
  <c r="U13" i="25" s="1"/>
  <c r="V13" i="25" s="1"/>
  <c r="T14" i="25"/>
  <c r="U14" i="25" s="1"/>
  <c r="V14" i="25" s="1"/>
  <c r="T15" i="25"/>
  <c r="U15" i="25" s="1"/>
  <c r="V15" i="25" s="1"/>
  <c r="T16" i="25"/>
  <c r="U16" i="25" s="1"/>
  <c r="V16" i="25" s="1"/>
  <c r="G15" i="25"/>
  <c r="G12" i="25"/>
  <c r="B12" i="25"/>
  <c r="S11" i="28"/>
  <c r="T11" i="28" s="1"/>
  <c r="S13" i="28"/>
  <c r="T13" i="28" s="1"/>
  <c r="U13" i="28" s="1"/>
  <c r="S14" i="28"/>
  <c r="T14" i="28" s="1"/>
  <c r="U14" i="28" s="1"/>
  <c r="S15" i="28"/>
  <c r="T15" i="28" s="1"/>
  <c r="U15" i="28" s="1"/>
  <c r="S17" i="28"/>
  <c r="T17" i="28" s="1"/>
  <c r="U17" i="28" s="1"/>
  <c r="S18" i="28"/>
  <c r="T18" i="28" s="1"/>
  <c r="U18" i="28" s="1"/>
  <c r="S20" i="28"/>
  <c r="T20" i="28" s="1"/>
  <c r="U20" i="28" s="1"/>
  <c r="F21" i="28"/>
  <c r="C21" i="28" s="1"/>
  <c r="A21" i="28"/>
  <c r="F19" i="28"/>
  <c r="C19" i="28"/>
  <c r="B19" i="28"/>
  <c r="A12" i="28"/>
  <c r="A16" i="28" s="1"/>
  <c r="A19" i="28" s="1"/>
  <c r="F14" i="28"/>
  <c r="F13" i="28"/>
  <c r="F12" i="28"/>
  <c r="B12" i="28"/>
  <c r="V6" i="28"/>
  <c r="V5" i="28"/>
  <c r="T13" i="23"/>
  <c r="U13" i="23" s="1"/>
  <c r="F13" i="23"/>
  <c r="F16" i="23" s="1"/>
  <c r="S11" i="33"/>
  <c r="T11" i="33" s="1"/>
  <c r="U11" i="33" s="1"/>
  <c r="S13" i="33"/>
  <c r="T13" i="33" s="1"/>
  <c r="U13" i="33" s="1"/>
  <c r="S14" i="33"/>
  <c r="T14" i="33" s="1"/>
  <c r="U14" i="33" s="1"/>
  <c r="S15" i="33"/>
  <c r="T15" i="33"/>
  <c r="U15" i="33" s="1"/>
  <c r="S16" i="33"/>
  <c r="T16" i="33"/>
  <c r="U16" i="33" s="1"/>
  <c r="S17" i="33"/>
  <c r="T17" i="33" s="1"/>
  <c r="U17" i="33" s="1"/>
  <c r="S18" i="33"/>
  <c r="T18" i="33" s="1"/>
  <c r="U18" i="33" s="1"/>
  <c r="A12" i="33"/>
  <c r="B12" i="33"/>
  <c r="AA15" i="29"/>
  <c r="AB15" i="29" s="1"/>
  <c r="AB11" i="29"/>
  <c r="AB13" i="29"/>
  <c r="F15" i="29"/>
  <c r="C15" i="29" s="1"/>
  <c r="F13" i="29"/>
  <c r="F11" i="29"/>
  <c r="C11" i="29" s="1"/>
  <c r="F45" i="34"/>
  <c r="C45" i="34" s="1"/>
  <c r="B45" i="34"/>
  <c r="F43" i="34"/>
  <c r="C43" i="34" s="1"/>
  <c r="B43" i="34"/>
  <c r="F36" i="34"/>
  <c r="C36" i="34" s="1"/>
  <c r="F32" i="34"/>
  <c r="C32" i="34" s="1"/>
  <c r="B32" i="34"/>
  <c r="F25" i="34"/>
  <c r="C25" i="34" s="1"/>
  <c r="F21" i="34"/>
  <c r="C21" i="34" s="1"/>
  <c r="B21" i="34"/>
  <c r="B18" i="34"/>
  <c r="F14" i="34"/>
  <c r="C14" i="34" s="1"/>
  <c r="F12" i="34"/>
  <c r="C12" i="34" s="1"/>
  <c r="AD6" i="34"/>
  <c r="S15" i="6"/>
  <c r="T15" i="6"/>
  <c r="U15" i="6" s="1"/>
  <c r="S16" i="6"/>
  <c r="T16" i="6" s="1"/>
  <c r="U16" i="6" s="1"/>
  <c r="F12" i="6"/>
  <c r="C12" i="6"/>
  <c r="C7" i="4" s="1"/>
  <c r="B12" i="6"/>
  <c r="A12" i="6"/>
  <c r="S11" i="1"/>
  <c r="T11" i="1" s="1"/>
  <c r="U11" i="1" s="1"/>
  <c r="F13" i="1"/>
  <c r="C13" i="1" s="1"/>
  <c r="C6" i="4" s="1"/>
  <c r="B13" i="1"/>
  <c r="F12" i="1"/>
  <c r="B12" i="1"/>
  <c r="A12" i="1"/>
  <c r="C18" i="24"/>
  <c r="C22" i="24" s="1"/>
  <c r="C16" i="24"/>
  <c r="C12" i="1"/>
  <c r="C12" i="28"/>
  <c r="C8" i="4" s="1"/>
  <c r="D12" i="25"/>
  <c r="D19" i="25" s="1"/>
  <c r="AC11" i="29"/>
  <c r="AD5" i="29" l="1"/>
  <c r="AC33" i="35"/>
  <c r="AC27" i="35"/>
  <c r="AC21" i="35"/>
  <c r="AC16" i="35"/>
  <c r="AC18" i="34"/>
  <c r="AC44" i="34"/>
  <c r="AC31" i="34"/>
  <c r="AC20" i="34"/>
  <c r="D3" i="4"/>
  <c r="AC13" i="34"/>
  <c r="AD5" i="34"/>
  <c r="C5" i="4"/>
  <c r="C18" i="29"/>
  <c r="U20" i="33"/>
  <c r="D14" i="4" s="1"/>
  <c r="D8" i="4"/>
  <c r="U11" i="28"/>
  <c r="U22" i="28" s="1"/>
  <c r="D16" i="4" s="1"/>
  <c r="AD5" i="24"/>
  <c r="AC16" i="24"/>
  <c r="AC36" i="34"/>
  <c r="AC13" i="24"/>
  <c r="AC20" i="24" s="1"/>
  <c r="D23" i="4" s="1"/>
  <c r="D6" i="4"/>
  <c r="AC15" i="29"/>
  <c r="AC16" i="29" s="1"/>
  <c r="D13" i="4" s="1"/>
  <c r="D5" i="4"/>
  <c r="AD6" i="29"/>
  <c r="U14" i="1"/>
  <c r="D20" i="4" s="1"/>
  <c r="D7" i="4"/>
  <c r="U11" i="22"/>
  <c r="U12" i="22" s="1"/>
  <c r="D17" i="4" s="1"/>
  <c r="U18" i="6"/>
  <c r="D19" i="4" s="1"/>
  <c r="C3" i="4"/>
  <c r="C54" i="34"/>
  <c r="V17" i="25"/>
  <c r="D18" i="4" s="1"/>
  <c r="AC25" i="34"/>
  <c r="D4" i="4"/>
  <c r="C20" i="6"/>
  <c r="F16" i="1"/>
  <c r="C12" i="23"/>
  <c r="C4" i="4" s="1"/>
  <c r="AC37" i="35" l="1"/>
  <c r="D22" i="4" s="1"/>
  <c r="AC51" i="34"/>
  <c r="D15" i="4" s="1"/>
  <c r="C9" i="4"/>
  <c r="D9" i="4"/>
</calcChain>
</file>

<file path=xl/sharedStrings.xml><?xml version="1.0" encoding="utf-8"?>
<sst xmlns="http://schemas.openxmlformats.org/spreadsheetml/2006/main" count="1068" uniqueCount="447">
  <si>
    <t>ELABORACIÓN Y SEGUIMIENTO DEL PLAN DE ACCIÓN</t>
  </si>
  <si>
    <t>PROCESO: Gerencia</t>
  </si>
  <si>
    <t>FORMULACIÓN</t>
  </si>
  <si>
    <t>SEGUIMIENTO</t>
  </si>
  <si>
    <t>ANÁLISIS</t>
  </si>
  <si>
    <t>OBJETIVO ESTRATEGICO</t>
  </si>
  <si>
    <t>PONDERACIÓN</t>
  </si>
  <si>
    <t>ACTIVIDADES</t>
  </si>
  <si>
    <t>RESPONSABLE</t>
  </si>
  <si>
    <t>METAS</t>
  </si>
  <si>
    <t>Valor alcanzado - promedio</t>
  </si>
  <si>
    <t>Ponderación parcial</t>
  </si>
  <si>
    <t>Total ponderado</t>
  </si>
  <si>
    <t>Análisis marzo</t>
  </si>
  <si>
    <t>Análisis junio</t>
  </si>
  <si>
    <t>Análisis septiembre</t>
  </si>
  <si>
    <t>Análisis diciembre</t>
  </si>
  <si>
    <t>Gerente</t>
  </si>
  <si>
    <t>EVALUACIÓN TOTAL DEL SEGUIMIENTO</t>
  </si>
  <si>
    <t xml:space="preserve">Elevar la capacidad de innovación, calidad técnica y audio visual en la producción, programación y distribución de los contenidos a través de las distintas plataformas. </t>
  </si>
  <si>
    <t>PLANEACIÓN ESTRATÉGICA TELEMEDELLÍN</t>
  </si>
  <si>
    <t>#</t>
  </si>
  <si>
    <t xml:space="preserve">Administrar y optimizar eficientemente los recursos financieros acorde con las expectativas de los asociados. </t>
  </si>
  <si>
    <t xml:space="preserve">Incrementar el nivel de eficiencia y eficacia operativa y administrativa en la gestión y ejecución de los procesos. </t>
  </si>
  <si>
    <t xml:space="preserve">Aumentar el nivel de desempeño individual y colectivo, mediante el desarrollo de competencias. </t>
  </si>
  <si>
    <t>TOTAL</t>
  </si>
  <si>
    <t xml:space="preserve">Elevar el nivel de competitividad y posicionamiento del Canal como plataforma de contenidos formativos, Informativos y culturales. </t>
  </si>
  <si>
    <t>PROGRAMA</t>
  </si>
  <si>
    <t>PROCESO: Planeación Estratégica</t>
  </si>
  <si>
    <t>Efectividad en la proyección y soporte administrativo.</t>
  </si>
  <si>
    <t>PROCESO: Gestión Técnica</t>
  </si>
  <si>
    <t>Director Técnico</t>
  </si>
  <si>
    <t xml:space="preserve">Garantizar la calidad y tiempo  de la señal de aire y en satélite. </t>
  </si>
  <si>
    <t>Horas</t>
  </si>
  <si>
    <t>PROCESO: Evaluación y Control</t>
  </si>
  <si>
    <t>Jefe de Control Interno</t>
  </si>
  <si>
    <t>Trimestral</t>
  </si>
  <si>
    <t>Fórmula</t>
  </si>
  <si>
    <t>Efectividad</t>
  </si>
  <si>
    <t>Proyección y soporte administrativo.</t>
  </si>
  <si>
    <t>Gestión</t>
  </si>
  <si>
    <t>Eficiencia</t>
  </si>
  <si>
    <t>PROCESO: GESTIÓN JURÍDICA</t>
  </si>
  <si>
    <t>Garantizar el proceso contractual en sus diferentes etapas con sujeción a la ley y a los principios de transparencia</t>
  </si>
  <si>
    <t>Secretaria General</t>
  </si>
  <si>
    <t>Elaboración de pliegos</t>
  </si>
  <si>
    <t>Emitir conceptos jurídicos confiables y oportunos</t>
  </si>
  <si>
    <t>INDICADORES</t>
  </si>
  <si>
    <t>Objetivo del indicador</t>
  </si>
  <si>
    <t>Nombre indicador</t>
  </si>
  <si>
    <t>Control de contratos</t>
  </si>
  <si>
    <t>Ejecución comité de contratación</t>
  </si>
  <si>
    <t>Responder eficientemente a la elaboración de pliegos solicitada por la dirección de Telemedellín</t>
  </si>
  <si>
    <t>Mide</t>
  </si>
  <si>
    <t>Periodicidad</t>
  </si>
  <si>
    <t>Eficacia</t>
  </si>
  <si>
    <t>Mensual</t>
  </si>
  <si>
    <t>Responder eficazmente a las demandas interpuestas a Telemedellín</t>
  </si>
  <si>
    <t>Meta</t>
  </si>
  <si>
    <t># de derechos de petición y tutelas respondidas a tiempo / # derechos de petición y tutelas presentadas</t>
  </si>
  <si>
    <t>Responder eficazmente a las derechos de petición y tutelas interpuestas a Telemedellín</t>
  </si>
  <si>
    <t>Respuesta de derechos de petición y tutelas</t>
  </si>
  <si>
    <t>Respuesta de demandas</t>
  </si>
  <si>
    <t>SEGUIMIENTO 2014</t>
  </si>
  <si>
    <t xml:space="preserve">Asegurar franjas competitivas y programas ancla que soporten la propuesta de valor.
</t>
  </si>
  <si>
    <t>Señal Satelital</t>
  </si>
  <si>
    <t>PROCESO: Gestión Producción</t>
  </si>
  <si>
    <t>Meta
Anual</t>
  </si>
  <si>
    <t>Horas mensuales de programación</t>
  </si>
  <si>
    <t>Director de Programación</t>
  </si>
  <si>
    <t>Anual</t>
  </si>
  <si>
    <t>Director de Producción</t>
  </si>
  <si>
    <t>Medir la producción del Canal  con base en la capacidad instalada existente de horas cámaras.</t>
  </si>
  <si>
    <t>Medir la operación de la postproducción del Canal con base en la capacidad instalada existente de horas edición.</t>
  </si>
  <si>
    <t># Horas de cámara ejecutadas / Capacidad instalada total de cámaras</t>
  </si>
  <si>
    <t># Horas de edición ejecutadas / Capacidad instalada total de edición</t>
  </si>
  <si>
    <t>A través de la capacidad operativa de las horas cámaras se evaluará la ejecución de la producción del Canal.</t>
  </si>
  <si>
    <t>A través de la capacidad operativa de las horas edición se evaluará la ejecución de la postproducción del Canal.</t>
  </si>
  <si>
    <t>Celebrar contrataciones con terceros con el objeto de producir productos audiovisuales.</t>
  </si>
  <si>
    <t>Calcular los ingresos por concepto de la producción a terceros.</t>
  </si>
  <si>
    <t>Ingresos por producción</t>
  </si>
  <si>
    <t>Valor ingresos por servicios prestados / Valor ingresos presupuestados</t>
  </si>
  <si>
    <t>PROCESO: Gestión Comunicaciones y Mercadeo</t>
  </si>
  <si>
    <t>Directora de mercadeo
Profesionales de comunicación</t>
  </si>
  <si>
    <t>Meta anual</t>
  </si>
  <si>
    <t>Semestral</t>
  </si>
  <si>
    <t>PROCESO: Gestión Administrativa y financiera</t>
  </si>
  <si>
    <t>Medir el porcentaje de ejecución presupuestal de ingresos</t>
  </si>
  <si>
    <t>Medir el porcentaje de ejecución presupuestal de  egresos</t>
  </si>
  <si>
    <t>Medir la participación de terceros en el activo total</t>
  </si>
  <si>
    <t xml:space="preserve">Ejecución presupuestal de ingresos </t>
  </si>
  <si>
    <t>Ejecución presupuestal de egresos</t>
  </si>
  <si>
    <t>Liquidez</t>
  </si>
  <si>
    <t>Endeudamiento</t>
  </si>
  <si>
    <t>Activo Corriente / Pasivo Corriente</t>
  </si>
  <si>
    <t>Pasivo Total / Activo Total</t>
  </si>
  <si>
    <t>Seguimiento al cumplimiento de los planes de acción</t>
  </si>
  <si>
    <t>Contratos que cumplen requisitos de legalización  /  Contratos revisados</t>
  </si>
  <si>
    <t>Atender y tramitar los diferentes contratos que se originen en la operación del Canal.</t>
  </si>
  <si>
    <t xml:space="preserve"># Actas de comité de contratación elaboradas / # de comités de contratación realizados </t>
  </si>
  <si>
    <t># de solicitudes de procesos de selección solicitados / # De pliegos elaborados</t>
  </si>
  <si>
    <t># de procedimientos atendidos a tiempo / # Demandas interpuestas</t>
  </si>
  <si>
    <t>PROCESO: Gestión Humana</t>
  </si>
  <si>
    <t>Presupuesto ejecutado / Presupuesto Aprobado</t>
  </si>
  <si>
    <t>Director Administrativo y Financiero</t>
  </si>
  <si>
    <t>Operación capacidad instalada de producción</t>
  </si>
  <si>
    <t>Operación capacidad instalada de Postproducción</t>
  </si>
  <si>
    <t xml:space="preserve">Meta
</t>
  </si>
  <si>
    <t>Análisis Marzo</t>
  </si>
  <si>
    <t>Análisis Junio</t>
  </si>
  <si>
    <t>PROCESO: Gestión Programación y Distribución</t>
  </si>
  <si>
    <t>Análisis Septiembre</t>
  </si>
  <si>
    <t>Análisis Diciembre</t>
  </si>
  <si>
    <t>RESPONSABLE: Gerente</t>
  </si>
  <si>
    <t>RESPONSABLE: Director Producción</t>
  </si>
  <si>
    <t>RESPONSABLE: Director Programación y Distribución</t>
  </si>
  <si>
    <t xml:space="preserve">RESPONSABLE: Jefe control interno </t>
  </si>
  <si>
    <t>RESPONSABLE: Director Técnico</t>
  </si>
  <si>
    <t>RESPONSABLE: Director Administrativo y Financiero</t>
  </si>
  <si>
    <t>RESPONSABLE: Directora Comunicaciones y Mercadeo</t>
  </si>
  <si>
    <t>RESPONSABLE: SECRETARIA GENERAL</t>
  </si>
  <si>
    <t>Anticorrupción</t>
  </si>
  <si>
    <t>MECI</t>
  </si>
  <si>
    <t>Cumplimiento de los indicadores del plan anticorrupción</t>
  </si>
  <si>
    <t>Cumplimiento de los indicadores en la rendición de cuentas y Ley de transparencia</t>
  </si>
  <si>
    <t>Evaluación de indicadores</t>
  </si>
  <si>
    <t>Rendición de Cuentas y Ley de Transparencia</t>
  </si>
  <si>
    <t>Seguimiento a las actividades formuladas para el MECI</t>
  </si>
  <si>
    <t>RESPONSABLE: Jefe de Gestión Humana.</t>
  </si>
  <si>
    <t>&gt;1.25</t>
  </si>
  <si>
    <t>&lt;=30%</t>
  </si>
  <si>
    <t>PLAN DE DESARROLLO ALCALDÍA DE MEDELLÍN 2016-2019
RELACIÓN TELEMEDELLÍN</t>
  </si>
  <si>
    <t>DIMENSIÓN 1: Creemos en la cultura ciudadana</t>
  </si>
  <si>
    <t>RETO</t>
  </si>
  <si>
    <t>Reto 1.3: Medellín bien administrada</t>
  </si>
  <si>
    <t>PROCESO: Gestión Agencia y Central de Medios</t>
  </si>
  <si>
    <t>Director de Agencia y Central de Medios</t>
  </si>
  <si>
    <t>RESPONSABLE: Director Agencia y Central de Medios</t>
  </si>
  <si>
    <t>Cumplimiento en el desarrollo del plan de trabajo de la OCI</t>
  </si>
  <si>
    <t>Actividades Programadas/actividades Terminadas</t>
  </si>
  <si>
    <t>4.1. Creemos en la Cultura Ciudadana</t>
  </si>
  <si>
    <t>DIMENSIÓN PLAN DE DESARROLLO ALCALDÍA DE MEDELLÍN</t>
  </si>
  <si>
    <t>RESPONSABLE: Dirección de Planeación</t>
  </si>
  <si>
    <t xml:space="preserve"> </t>
  </si>
  <si>
    <t>OBJETIVOS ESTRATÉGICOS TELEMEDELLÍN 2016 - 2019</t>
  </si>
  <si>
    <t>DIMENSIÓN</t>
  </si>
  <si>
    <t>Horas programas comunicación pública</t>
  </si>
  <si>
    <t xml:space="preserve">Evaluar crecimiento en televidentes
Definir y proyectar crecimiento futuro
Desarrollar estrategia y crecimiento en Rating.
</t>
  </si>
  <si>
    <t>Canales más vistos en los últimos 30 días</t>
  </si>
  <si>
    <t>Número de personas que vieron el canal en los últimos 30 días</t>
  </si>
  <si>
    <t>Canales más vistos el día de ayer</t>
  </si>
  <si>
    <t>Número de personas que vieron el canal el día de ayer</t>
  </si>
  <si>
    <t>Ranking últimos 30 días</t>
  </si>
  <si>
    <t>Posición en ranking de los canales más vistos en los últimos 30 días</t>
  </si>
  <si>
    <t>Ranking día de ayer</t>
  </si>
  <si>
    <t>Posición en ranking de los canales más vistos el día de ayer</t>
  </si>
  <si>
    <t>Estar entre los 10 canales más visto en los últimos  30 días en la tercera ola del EGM</t>
  </si>
  <si>
    <t>DIMENSIÓN TRANSVERSAL: FOMENTAMOS LA CULTURA CIUDADANA</t>
  </si>
  <si>
    <t xml:space="preserve">Emitir horas de Programas de comunicación pública </t>
  </si>
  <si>
    <t>Nominaciones a premios</t>
  </si>
  <si>
    <t>Nominaciones a premios comunicación pública</t>
  </si>
  <si>
    <t>Premios obtenidos en comunicación pública</t>
  </si>
  <si>
    <t xml:space="preserve">Nominaciones a premios en programas de comunicación pública </t>
  </si>
  <si>
    <t xml:space="preserve">Premios obtenidos en programas de comunicación pública </t>
  </si>
  <si>
    <t>Premios obtenidos</t>
  </si>
  <si>
    <t>DIMENSIÓN 2: ENTREGAMOS INFORMACIÓN ÚTIL</t>
  </si>
  <si>
    <t>DIMENSIÓN 1: IMPULSAMOS LA COMUNICACIÓN PÚBLICA</t>
  </si>
  <si>
    <t>Horas programas información</t>
  </si>
  <si>
    <t xml:space="preserve">Emitir horas de Programas de información </t>
  </si>
  <si>
    <t>Nominaciones a premios información</t>
  </si>
  <si>
    <t xml:space="preserve">Nominaciones a premios en programas de información </t>
  </si>
  <si>
    <t>Premios obtenidos en información</t>
  </si>
  <si>
    <t xml:space="preserve">Premios obtenidos en programas de información </t>
  </si>
  <si>
    <t>Realización de propuestas comerciales de producción a las diferentes secretarias y entes descentralizados de la alcaldía de Medellín.
Celebrar convenios y coordinar la facturación de los contratos logrados con las diferentes secretarias y entes descentralizados de la Alcaldía de Medellín.</t>
  </si>
  <si>
    <t>Horas vendidas en programas de comunicación pública</t>
  </si>
  <si>
    <t xml:space="preserve">Horas vendidas comunicación pública / Horas emitidas comunicación pública </t>
  </si>
  <si>
    <t>Venta de horas programas de comunicación pública</t>
  </si>
  <si>
    <t>Margen de utilidad promedio programas de comunicación pública</t>
  </si>
  <si>
    <t>Margen de utilidad promedio de horas de comunicación pública vendida</t>
  </si>
  <si>
    <t>Venta de horas programas de información</t>
  </si>
  <si>
    <t>Horas vendidas en programas de información</t>
  </si>
  <si>
    <t xml:space="preserve">Horas vendidas información / Horas emitidas información </t>
  </si>
  <si>
    <t>Margen de utilidad promedio programas de información</t>
  </si>
  <si>
    <t>Margen de utilidad promedio de horas de información vendida</t>
  </si>
  <si>
    <t>Realización de propuestas comerciales de producción a las diferentes secretarias, entes descentralizados de la alcaldía de Medellín y entidades privadas nacionales e internacionales.
Celebrar convenios y coordinar la facturación de los contratos logrados con las diferentes secretarias y entes descentralizados de la Alcaldía de Medellín.</t>
  </si>
  <si>
    <t>Venta programas información</t>
  </si>
  <si>
    <t>Cantidad de capítulos vendidos en programas de información</t>
  </si>
  <si>
    <t>Cesión programas de información</t>
  </si>
  <si>
    <t>Intercambio de capítulos de  programas de información</t>
  </si>
  <si>
    <t>Cantidad de capítulos intercambiados  en programas de información</t>
  </si>
  <si>
    <t>Transmisión cedida de la señal del satélite</t>
  </si>
  <si>
    <t>Transmisiones cedida de la señal del satélite de programas de información</t>
  </si>
  <si>
    <t>DIMENSIÓN 3: PROMOVEMOS EL ENTRETENIMIENTO</t>
  </si>
  <si>
    <t>Horas programas entretenimiento</t>
  </si>
  <si>
    <t xml:space="preserve">Emitir horas de Programas de entretenimiento </t>
  </si>
  <si>
    <t>Nominaciones a premios entretenimiento</t>
  </si>
  <si>
    <t xml:space="preserve">Nominaciones a premios en programas de entretenimiento </t>
  </si>
  <si>
    <t>Premios obtenidos en entretenimiento</t>
  </si>
  <si>
    <t xml:space="preserve">Premios obtenidos en programas de entretenimiento </t>
  </si>
  <si>
    <t>Venta de horas programas de entretenimiento</t>
  </si>
  <si>
    <t>Horas vendidas en programas de entretenimiento</t>
  </si>
  <si>
    <t xml:space="preserve">Horas vendidas entretenimiento / Horas emitidas entretenimiento </t>
  </si>
  <si>
    <t>Margen de utilidad promedio programas de entretenimiento</t>
  </si>
  <si>
    <t>Margen de utilidad promedio de horas de entretenimiento vendida</t>
  </si>
  <si>
    <t>Venta programas entretenimiento</t>
  </si>
  <si>
    <t>Cantidad de capítulos vendidos en programas de entretenimiento</t>
  </si>
  <si>
    <t>Cesión programas de entretenimiento</t>
  </si>
  <si>
    <t>Cantidad de capítulos intercambiados  en programas de entretenimiento</t>
  </si>
  <si>
    <t>Intercambio de capítulos de  programas de entretenimiento</t>
  </si>
  <si>
    <t>Transmisiones cedida de la señal del satélite de programas de entretenimiento</t>
  </si>
  <si>
    <t>Brindar espacios y herramientas para posicionar el canal parque Gabriel García Márquez</t>
  </si>
  <si>
    <t>Eventos realizados en 
el Parque GGM</t>
  </si>
  <si>
    <t>Ranking  tripadvisor</t>
  </si>
  <si>
    <t>Posicionar el canal parque en tripadvisor</t>
  </si>
  <si>
    <t>Posicionar el canal parque 
con diferentes eventos realizados</t>
  </si>
  <si>
    <t>Posición en ranking de tripadvisor de lugares de Medellín</t>
  </si>
  <si>
    <t>Cantidad de Eventos 
realizados en el Parque GGM</t>
  </si>
  <si>
    <t>Número de visitantes centro interactivo</t>
  </si>
  <si>
    <t>Identificar el flujo de visitantes en el centro interactivo</t>
  </si>
  <si>
    <t>Cantidad de visitantes en el centro interactivo</t>
  </si>
  <si>
    <t>Potenciar la sede del canal como fuente de ingresos</t>
  </si>
  <si>
    <t>Directora Administrativo y Financiero</t>
  </si>
  <si>
    <t>Ingreso recibido por alquileres parque GGM</t>
  </si>
  <si>
    <t>Recaudar ingresos por el alquiler de espacios y lugares del canal Parque GGM</t>
  </si>
  <si>
    <t>Ingresos percibidos en alquiler de espacios y lugares del Parque GGM</t>
  </si>
  <si>
    <t>Horas operación del Closed Caption</t>
  </si>
  <si>
    <t>Operar por las horas exigidas por la ANTV el sistema Closed Caption a los programas del canal.</t>
  </si>
  <si>
    <t>DIMENSIÓN 4: SEGUIMOS A LA VANGUARDIA TECNOLÓGICA</t>
  </si>
  <si>
    <t>Adquisición de equipos para realizar la actualización tecnológica requerida y estar a la vanguardia de la tecnología del sector.</t>
  </si>
  <si>
    <t xml:space="preserve">Inversión en
tecnología </t>
  </si>
  <si>
    <t>Presupuesto invertido
en adquisición tecnológica</t>
  </si>
  <si>
    <t xml:space="preserve">Evaluar crecimiento en televidentes
Definir y proyectar crecimiento futuro
Desarrollar estrategia y crecimiento en diferentes plataformas
</t>
  </si>
  <si>
    <t>Número de televidentes en sistemas de televisión paga</t>
  </si>
  <si>
    <t>Identificar el número de televidentes en sistemas de televisión paga</t>
  </si>
  <si>
    <t>Cantidad de televidentes en sistemas de televisión paga</t>
  </si>
  <si>
    <t>Número de visitas en la página web</t>
  </si>
  <si>
    <t>Identificar el flujo de visitantes en la página web</t>
  </si>
  <si>
    <t>Cantidad de visitantes en la página web</t>
  </si>
  <si>
    <t>Número de visitas en la Twitter</t>
  </si>
  <si>
    <t>Identificar el flujo de visitantes en la Twitter</t>
  </si>
  <si>
    <t>Cantidad de visitantes en la Twitter</t>
  </si>
  <si>
    <t>Número de visitas en la Facebook</t>
  </si>
  <si>
    <t>Identificar el flujo de visitantes en la Facebook</t>
  </si>
  <si>
    <t>Cantidad de visitantes en la Facebook</t>
  </si>
  <si>
    <t>Número de visitas en la Instagram</t>
  </si>
  <si>
    <t>Identificar el flujo de visitantes en la Instagram</t>
  </si>
  <si>
    <t>Cantidad de visitantes en la Instagram</t>
  </si>
  <si>
    <t>Director de planeación y grupo de trabajo</t>
  </si>
  <si>
    <t>Desarrollar software que aporten y faciliten el proceso de Telemedellín</t>
  </si>
  <si>
    <t>Software operando en Telemedellín</t>
  </si>
  <si>
    <t>Número de programas software operando</t>
  </si>
  <si>
    <t>Diseño e implementación del procedimiento de trazabilidad de los productos audiovisuales de Telemedellín</t>
  </si>
  <si>
    <t>Procedimiento trazabilidad productos audiovisuales de Telemedellín</t>
  </si>
  <si>
    <t>DIMENSIÓN 5: SOMOS UN ALIADO ESTRATÉGICO</t>
  </si>
  <si>
    <t>Generar ingresos al Canal a través de proyectos o productos nuevos.</t>
  </si>
  <si>
    <t>Ingresos nuevos productos</t>
  </si>
  <si>
    <t>Cuantificar el valor de los ingresos que genere la agencia de medio de productos nuevos</t>
  </si>
  <si>
    <t>Generar ingresos al Canal a través de nuevos clientes</t>
  </si>
  <si>
    <t>Ingresos por nuevos clientes</t>
  </si>
  <si>
    <t>Cuantificar el valor de los ingresos que genere la agencia de medio por nuevos clientes</t>
  </si>
  <si>
    <t>Generar ingresos al Canal a través de proyectos o productos nuevos de mercadeo.</t>
  </si>
  <si>
    <t>Generar ingresos al Canal a través de nuevos clientes de mercadeo</t>
  </si>
  <si>
    <t>Directora de mercadeo y comunicaciones
Profesionales de comunicación</t>
  </si>
  <si>
    <t>Cuantificar el valor de los ingresos que genere mercadeo de productos nuevos</t>
  </si>
  <si>
    <t>Cuantificar el valor de los ingresos que genere la mercadeo de medio por nuevos clientes</t>
  </si>
  <si>
    <t>Generar ingresos al Canal a por alianzas estratégicas clientes junior</t>
  </si>
  <si>
    <t>Ingresos por alianzas estratégicas clientes junior</t>
  </si>
  <si>
    <t>Cuantificar el valor de los ingresos que genere las alianzas estratégicas clientes junior</t>
  </si>
  <si>
    <t>Medir el porcentaje de satisfacción con los productos o servicios para el conglomerado</t>
  </si>
  <si>
    <t>Medir el porcentaje de satisfacción con los productos o servicios para otras entidades públicas</t>
  </si>
  <si>
    <t>Desarrollar un modelo de gestión comercial para el conglomerado</t>
  </si>
  <si>
    <t>Desarrollar un modelo de gestión comercial para otras entidades públicas</t>
  </si>
  <si>
    <t>Modelo de gestión comercial para el conglomerado</t>
  </si>
  <si>
    <t>Modelo de gestión comercial para otras entidades públicas</t>
  </si>
  <si>
    <t>Clientes satisfechos del conglomerado</t>
  </si>
  <si>
    <t>Clientes satisfechos de otras entidades públicas</t>
  </si>
  <si>
    <t>Contar con un modelo de gestión comercial acorde a el enfoque comercial del conglomerado.</t>
  </si>
  <si>
    <t>Contar con un modelo de gestión comercial acorde a el enfoque comercial de otras entidades públicas.</t>
  </si>
  <si>
    <t>Modelo de gestión comercial para entidades privadas</t>
  </si>
  <si>
    <t>Contar con un modelo de gestión comercial acorde a el enfoque comercial de entidades privadas.</t>
  </si>
  <si>
    <t>Medir el porcentaje de satisfacción con los productos o servicios para entidades privadas</t>
  </si>
  <si>
    <t>Clientes satisfechos de  entidades privadas</t>
  </si>
  <si>
    <t>DIMENSIÓN 6: FORTALECEMOS A TELEMEDELLÍN</t>
  </si>
  <si>
    <t>Generar rentabilidad anual</t>
  </si>
  <si>
    <t>Utilidad operacional</t>
  </si>
  <si>
    <t>Generar una utilidad operacional igual superior al 0%</t>
  </si>
  <si>
    <t>Utilidad operacional del periodo</t>
  </si>
  <si>
    <t>Transferencias programación</t>
  </si>
  <si>
    <t>Generar ingresos al Canal a través de transferencias o convenio único de programación.</t>
  </si>
  <si>
    <t>Cumplimiento del plan de capacitación</t>
  </si>
  <si>
    <t>Medir las actividades del Plan de formación y capacitación</t>
  </si>
  <si>
    <t>No de actividades del plan de capacitación ejecutadas/ No actividades del plan de capacitación programadas X 100</t>
  </si>
  <si>
    <t xml:space="preserve">Jefe de Gestión Humana
</t>
  </si>
  <si>
    <t>Cumplimiento del Plan de Bienestar Laboral</t>
  </si>
  <si>
    <t>Medir las actividades de bienestar laboral.</t>
  </si>
  <si>
    <t>No de actividades del plan de bienestar laboral ejecutadas  / No actividades del plan de bienestar laboral programadas X 100</t>
  </si>
  <si>
    <t>Jefe de Gestión Humana</t>
  </si>
  <si>
    <t>SEGURIDAD Y SALUD EN EL TRABAJO</t>
  </si>
  <si>
    <t>Cumplimiento del programas de seguridad y salud en el trabajo.</t>
  </si>
  <si>
    <t>Identificar las actividades realizadas por el canal en pro de la seguridad y salud en el trabajo.</t>
  </si>
  <si>
    <t>No de actividades del programa de SST ejecutadas  / No actividades del programa de SST programadas X 100</t>
  </si>
  <si>
    <t>* Formular el programa de seguridad y salud en el trabajo.
* Promover la salud de los trabajadores mediante la prevención y el control de enfermedades y accidentes.
* Implementar el Sistema de Gestión de Seguridad y salud en el trabajo - SGSST.</t>
  </si>
  <si>
    <t>Implementación del Sistema de Gestión de Seguridad y salud en el trabajo.</t>
  </si>
  <si>
    <t>Cumplimiento del cronograma</t>
  </si>
  <si>
    <t>RIESGO PSICOSOCIAL</t>
  </si>
  <si>
    <t>Cumplimiento del plan de acción.</t>
  </si>
  <si>
    <t>Plan de acción - Riesgo Psicosocial</t>
  </si>
  <si>
    <t>No de actividades del plan de acción ejecutadas/ No actividades del plan de acción programadas X 100</t>
  </si>
  <si>
    <t>* Formulación e implementación del Plan de acción (Riesgo Psicosocial) frente a los resultados obtenidos</t>
  </si>
  <si>
    <t>EVALUACIÓN DEL DESEMPEÑO</t>
  </si>
  <si>
    <t>Evaluación del desempeño</t>
  </si>
  <si>
    <t>Realizar la evaluación de desempeño al personal vinculado, dos veces al año.</t>
  </si>
  <si>
    <t>No. Funcionarios con evaluación satisfactoria/total funcionarios evaluados X 100</t>
  </si>
  <si>
    <t>Realizar evaluación de desempeño al personal
* Coordinar la evaluación del desempeño del personal de planta con los Directores de Proceso.
* Consolidar y analizar los resultados de la evaluación</t>
  </si>
  <si>
    <t>Capacitar el  personal del Canal, en temas acordes con las funciones que cada uno desempeña,</t>
  </si>
  <si>
    <t xml:space="preserve"> Realizar las actividades requeridas en el plan de bienestar laboral.</t>
  </si>
  <si>
    <t>DIMENSIÓN 6: FORTALECEMOS TELEMEDELLÍN</t>
  </si>
  <si>
    <t>Desarrollar e implementar un modelo de Liderazgo</t>
  </si>
  <si>
    <t>Modelo de Liderazgo</t>
  </si>
  <si>
    <t>Contar con un modelo de liderazgo acorde a las necesidades del canal</t>
  </si>
  <si>
    <t>Cantidad de modelos de liderazgos implementados</t>
  </si>
  <si>
    <t>Contar con un modelo de Gobierno corporativo acorde a las necesidades del canal</t>
  </si>
  <si>
    <t>Cantidad de modelos corporativos implementados</t>
  </si>
  <si>
    <t>Rendición anual de la cuenta de Telemedellín</t>
  </si>
  <si>
    <t>Rendición de la cuenta</t>
  </si>
  <si>
    <t>Número de rendiciones de cuenta</t>
  </si>
  <si>
    <t>Rendir ante la comunidad y el público general interesado la información de las diferentes acciones y manejos que se han realizado de la entidad.</t>
  </si>
  <si>
    <t>PQRSF Cerradas</t>
  </si>
  <si>
    <t>Felicitaciones recibidas</t>
  </si>
  <si>
    <t>Satisfacción de respuestas dadas</t>
  </si>
  <si>
    <t>Tramitar las diferentes PQRFS que llegan al canal</t>
  </si>
  <si>
    <t>Identificar las diferentes felicitaciones recibidas por medio de las PQRFS</t>
  </si>
  <si>
    <t>Darle una repuesta oportuna y clara a los usuarios de esta comunicación, en el lapso de tiempo establecido</t>
  </si>
  <si>
    <t>Reconocer, que porcentaje de las PQRSF, son felicitaciones</t>
  </si>
  <si>
    <t>Identificar si las respuestas ofrecidas por el canal de las PQRSF, dejan satisfecho al usuario de este canal.</t>
  </si>
  <si>
    <t>PQRFS Tramitadas / PQRFS Recibidas</t>
  </si>
  <si>
    <t>Felicitaciones Recibidas / PQRFS Recibidas</t>
  </si>
  <si>
    <t>Cantidad de usuarios satisfechos / Cantidad de usuarios encuestados</t>
  </si>
  <si>
    <t>Clientes satisfechos del conglomerado / Clientes encuestados del conglomerado</t>
  </si>
  <si>
    <t>Clientes satisfechos de entidades privadas / Clientes encuestados de entidades privadas</t>
  </si>
  <si>
    <t>Clientes satisfechos de otras entidades públicas / Clientes encuestados de otras entidades públicas</t>
  </si>
  <si>
    <t>Cantidad de modelos de gestión comercial para el conglomerado</t>
  </si>
  <si>
    <t>Cantidad de modelos de gestión comercial para otras entidades públicas</t>
  </si>
  <si>
    <t>Cantidad de modelos de gestión comercial para entidades privadas</t>
  </si>
  <si>
    <t>CÓDIGO: FT-PE-GE-02
VERSIÓN: 04
FECHA: 09/01/2014</t>
  </si>
  <si>
    <t>Seguimiento a los indicadores formulados para el cumplimiento</t>
  </si>
  <si>
    <t>CÓDIGO: FT-PE-GE-02
VERSIÓN: 04
FECHA: 17/05/2011</t>
  </si>
  <si>
    <t>Cuantificar la utilidad operacional de la Agencia y Central de Medios</t>
  </si>
  <si>
    <t xml:space="preserve"> Utilidad operacional de la Agencia y Central de Medios</t>
  </si>
  <si>
    <t>Medir el valor de la utilidad operacional en  la Agencia y Central de Medios</t>
  </si>
  <si>
    <t>Ingresos transferencias programación</t>
  </si>
  <si>
    <t>Diseño de planes de acción y seguimiento a los resultados de los indicadores</t>
  </si>
  <si>
    <t>Medir por medio del estudio de IBOPE el share alcanzado por Telemedellín. Promedio share de los 10 programas mas importantes del canal.</t>
  </si>
  <si>
    <t>Share promedio de los 10 programas por contenido trimestral</t>
  </si>
  <si>
    <t>Share promedio de los 5 programas mas vistos de comunicación pública</t>
  </si>
  <si>
    <t>Medir por medio del estudio de IBOPE el share alcanzado por Telemedellín. Promedio share de los 5  programas mas vistos de comunicación pública</t>
  </si>
  <si>
    <t>Medir por medio del estudio de IBOPE el share alcanzado por Telemedellín. Promedio share de los 5  programas mas vistos de información</t>
  </si>
  <si>
    <t>Share promedio de los 5 programas mas vistos de información</t>
  </si>
  <si>
    <t>Medir por medio del estudio de IBOPE el share alcanzado por Telemedellín. Promedio share de los 5  programas mas vistos de entretenimiento</t>
  </si>
  <si>
    <t>Share promedio de los 5 programas mas vistos de entretenimiento</t>
  </si>
  <si>
    <t>Evaluar crecimiento en televidentes
Definir y proyectar crecimiento futuro
Desarrollar estrategia y crecimiento en Share</t>
  </si>
  <si>
    <t>Share comunicación pública</t>
  </si>
  <si>
    <t>Share</t>
  </si>
  <si>
    <t>Share información</t>
  </si>
  <si>
    <t>Share entretenimiento</t>
  </si>
  <si>
    <t>Identificar el porcentaje de clientes satisfechos del conglomerado.</t>
  </si>
  <si>
    <t>Identificar el porcentaje de clientes satisfechos de otras entidades públicas.</t>
  </si>
  <si>
    <t>Identificar el porcentaje de clientes satisfechos de entidades privadas.</t>
  </si>
  <si>
    <t>Porcentaje del margen de utilidad de venta de programas de comunicación pública</t>
  </si>
  <si>
    <t>Porcentaje del margen de utilidad de venta de programas de información</t>
  </si>
  <si>
    <t>Cantidad de transmisiones cedida de la señal del satélite programas de información</t>
  </si>
  <si>
    <t>Porcentaje del margen de utilidad de venta de programas de entretenimiento</t>
  </si>
  <si>
    <t>Cantidad de transmisiones cedida de la señal del satélite programas de entretenimiento</t>
  </si>
  <si>
    <t>Ser de los canales más vistos en los últimos 30 días en la tercera ola del EGM</t>
  </si>
  <si>
    <t>Ser de los canales más vistos el día de ayer en la tercera ola del EGM</t>
  </si>
  <si>
    <t>Estar entre los 15 canales más visto el día de ayer en la tercera ola del EGM</t>
  </si>
  <si>
    <t>Reto 1.3.1: Gobierno visible</t>
  </si>
  <si>
    <t xml:space="preserve">Realizar alianzas estratégicas con la Alcaldía y sus entes descentralizados para temas de comunicación a través de la Agencia y Central de Medios de Telemedellín. </t>
  </si>
  <si>
    <t>Seguimiento a los indicadores formulados para el cumplimento</t>
  </si>
  <si>
    <t>Contar con herramientas y sistemas de red corporativo acorde a los procesos de Telemedellín</t>
  </si>
  <si>
    <t>Capítulos vendidos de programas de información</t>
  </si>
  <si>
    <t>Capítulos cedidos de programas de información</t>
  </si>
  <si>
    <t>Capítulos intercambiados de programas de información</t>
  </si>
  <si>
    <t>Capítulos vendidos de programas de entretenimiento</t>
  </si>
  <si>
    <t>Capítulos cedidos de programas de entretenimiento</t>
  </si>
  <si>
    <t>Capítulos intercambiados de programas de entretenimiento</t>
  </si>
  <si>
    <t>Desarrollar un modelo de gestión comercial para entidades privadas</t>
  </si>
  <si>
    <t>Invertir en los equipos idóneos y adecuados para
 mantener el canal actualizado tecnológicamente.</t>
  </si>
  <si>
    <t>Cumplir indicador "% de tiempo al aire de la señal satelital".</t>
  </si>
  <si>
    <t>Realización de comité de contratación</t>
  </si>
  <si>
    <t>Implementar un modelo de Gobierno corporativo</t>
  </si>
  <si>
    <t>Modelo de Gobierno corporativo</t>
  </si>
  <si>
    <t>* Elaborar y ejercer control del presupuesto acorde a los planes del Canal.
* Presentar oportunamente los estados financieros con las respectivas recomendaciones a la dirección.
* Realizar un adecuado control a los activos.</t>
  </si>
  <si>
    <t>Medir la capacidad para atender obligaciones en el corto plazo</t>
  </si>
  <si>
    <t xml:space="preserve">Medir la satisfacción de los usuarios quienes envían las diferentes PQRSF </t>
  </si>
  <si>
    <t>Generar ingresos al Canal a través de transferencias o convenios de programación.</t>
  </si>
  <si>
    <t>&gt;0%</t>
  </si>
  <si>
    <t>OBJETIVO ESTRATÉGICO</t>
  </si>
  <si>
    <t>DIMENSIÓN 3 PROMOVEMOS EL ENTRETENIMIENTO</t>
  </si>
  <si>
    <t xml:space="preserve">OBJETIVO ESTRATÉGICO </t>
  </si>
  <si>
    <t>Número de horas al aire de la programación con Closed Caption</t>
  </si>
  <si>
    <t>Operar el sistema de subtítulos de programas de televisión destinado para la audiencia hipoacusia.</t>
  </si>
  <si>
    <t>Generar ingresos al Canal a por alianzas estratégicas clientes Premium</t>
  </si>
  <si>
    <t>Ingresos por alianzas estratégicas clientes Premium</t>
  </si>
  <si>
    <t>Cuantificar el valor de los ingresos que genere las alianzas estratégicas clientes Premium</t>
  </si>
  <si>
    <t xml:space="preserve">Elevar la capacidad de innovación, calidad técnica y audiovisual en la producción, programación y distribución de los contenidos a través de las distintas plataformas. </t>
  </si>
  <si>
    <t>Valor Trimestre 1</t>
  </si>
  <si>
    <t>Valor enero</t>
  </si>
  <si>
    <t>Valor febrero</t>
  </si>
  <si>
    <t>Valor marzo</t>
  </si>
  <si>
    <t>Valor abril</t>
  </si>
  <si>
    <t>Valor mayo</t>
  </si>
  <si>
    <t>Valor junio</t>
  </si>
  <si>
    <t>Valor  julio</t>
  </si>
  <si>
    <t>Valor agosto</t>
  </si>
  <si>
    <t>Valor septiembre</t>
  </si>
  <si>
    <t>Valor octubre</t>
  </si>
  <si>
    <t>Valor  noviembre</t>
  </si>
  <si>
    <t>Valor diciembre</t>
  </si>
  <si>
    <t>Valor Trimestre 2</t>
  </si>
  <si>
    <t>Valor Trimestre 3</t>
  </si>
  <si>
    <t>Valor Trimestre 4</t>
  </si>
  <si>
    <t>Se puso como responsable a todos los directores de área.</t>
  </si>
  <si>
    <t>GERENCIA</t>
  </si>
  <si>
    <t>PLANEACIÓN</t>
  </si>
  <si>
    <t>PROGRAMACIÓN</t>
  </si>
  <si>
    <t>PRODUCCIÓN</t>
  </si>
  <si>
    <t>AGENCIA Y CENTRAL</t>
  </si>
  <si>
    <t>TÉCNICA</t>
  </si>
  <si>
    <t>G. HUMANA</t>
  </si>
  <si>
    <t>JURÍDICA</t>
  </si>
  <si>
    <t>ADMINISTRATIVA</t>
  </si>
  <si>
    <t>CONTROL INTERNO</t>
  </si>
  <si>
    <t>COMUNICACIONES</t>
  </si>
  <si>
    <t>PROCESO</t>
  </si>
  <si>
    <t>% LOGRADO</t>
  </si>
  <si>
    <t>Ejecución del procedimiento de trazabilidad de los productos audiovisuales de Telemedellín</t>
  </si>
  <si>
    <t>Procedimiento de trazabilidad de los productos audiovisuales de Telemedellín operando</t>
  </si>
  <si>
    <t>Implementación y seguimiento del MIPG</t>
  </si>
  <si>
    <t>MIPG</t>
  </si>
  <si>
    <t>AÑO:  2018</t>
  </si>
  <si>
    <t>AÑO: 2018</t>
  </si>
  <si>
    <t>Ingreso recibido por alquileres sede y parque GGM</t>
  </si>
  <si>
    <t>Ingresos percibidos en alquiler de espacios sede y lugares del Parque GGM</t>
  </si>
  <si>
    <t>Realizar todas las actividades programadas en el plan para el año 2018</t>
  </si>
  <si>
    <t>Cumplimiento del plan de trabajo de la OCI para el año 2018</t>
  </si>
  <si>
    <t>PONDERACIÓN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</si>
</sst>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$&quot;\ * #,##0_-;\-&quot;$&quot;\ * #,##0_-;_-&quot;$&quot;\ * &quot;-&quot;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0.0%"/>
    <numFmt numFmtId="168" formatCode="_(* #,##0_);_(* \(#,##0\);_(* &quot;-&quot;??_);_(@_)"/>
    <numFmt numFmtId="169" formatCode="[$$-409]#,##0"/>
    <numFmt numFmtId="170" formatCode="0.00000%"/>
    <numFmt numFmtId="171" formatCode="_(&quot;$&quot;\ * #,##0_);_(&quot;$&quot;\ * \(#,##0\);_(&quot;$&quot;\ * &quot;-&quot;??_);_(@_)"/>
    <numFmt numFmtId="172" formatCode="0.0"/>
    <numFmt numFmtId="173" formatCode="&quot;$&quot;\ 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  <font>
      <sz val="14"/>
      <name val="Calibri"/>
      <family val="2"/>
      <scheme val="minor"/>
    </font>
    <font>
      <sz val="14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544">
    <xf numFmtId="0" fontId="0" fillId="0" borderId="0" xfId="0"/>
    <xf numFmtId="0" fontId="2" fillId="0" borderId="0" xfId="2" applyFont="1"/>
    <xf numFmtId="0" fontId="2" fillId="0" borderId="12" xfId="2" applyFont="1" applyFill="1" applyBorder="1" applyAlignment="1">
      <alignment horizontal="justify" vertical="center" wrapText="1"/>
    </xf>
    <xf numFmtId="0" fontId="7" fillId="6" borderId="0" xfId="4" applyFill="1"/>
    <xf numFmtId="0" fontId="4" fillId="4" borderId="18" xfId="4" applyFont="1" applyFill="1" applyBorder="1" applyAlignment="1">
      <alignment horizontal="center"/>
    </xf>
    <xf numFmtId="0" fontId="6" fillId="4" borderId="19" xfId="4" applyFont="1" applyFill="1" applyBorder="1" applyAlignment="1">
      <alignment horizontal="center" vertical="center"/>
    </xf>
    <xf numFmtId="0" fontId="4" fillId="4" borderId="20" xfId="4" applyFont="1" applyFill="1" applyBorder="1" applyAlignment="1">
      <alignment horizontal="center" wrapText="1"/>
    </xf>
    <xf numFmtId="0" fontId="3" fillId="6" borderId="0" xfId="4" applyFont="1" applyFill="1" applyAlignment="1">
      <alignment horizontal="center" vertical="center"/>
    </xf>
    <xf numFmtId="0" fontId="0" fillId="7" borderId="12" xfId="0" applyFill="1" applyBorder="1" applyAlignment="1">
      <alignment horizontal="left" vertical="top" wrapText="1"/>
    </xf>
    <xf numFmtId="0" fontId="9" fillId="8" borderId="12" xfId="0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wrapText="1"/>
    </xf>
    <xf numFmtId="0" fontId="5" fillId="0" borderId="0" xfId="0" applyFont="1"/>
    <xf numFmtId="0" fontId="2" fillId="0" borderId="0" xfId="2" applyFont="1" applyBorder="1"/>
    <xf numFmtId="0" fontId="2" fillId="0" borderId="0" xfId="2" applyFont="1" applyAlignment="1"/>
    <xf numFmtId="0" fontId="2" fillId="6" borderId="0" xfId="2" applyFont="1" applyFill="1"/>
    <xf numFmtId="0" fontId="2" fillId="6" borderId="0" xfId="2" applyFont="1" applyFill="1" applyAlignment="1"/>
    <xf numFmtId="170" fontId="2" fillId="0" borderId="0" xfId="2" applyNumberFormat="1" applyFont="1"/>
    <xf numFmtId="0" fontId="5" fillId="0" borderId="0" xfId="0" applyFont="1" applyAlignment="1">
      <alignment horizontal="right"/>
    </xf>
    <xf numFmtId="166" fontId="5" fillId="0" borderId="12" xfId="3" applyNumberFormat="1" applyFont="1" applyFill="1" applyBorder="1" applyAlignment="1">
      <alignment horizontal="center" vertical="center" wrapText="1"/>
    </xf>
    <xf numFmtId="10" fontId="5" fillId="0" borderId="0" xfId="0" applyNumberFormat="1" applyFont="1" applyAlignment="1">
      <alignment horizontal="right"/>
    </xf>
    <xf numFmtId="167" fontId="5" fillId="0" borderId="0" xfId="0" applyNumberFormat="1" applyFont="1"/>
    <xf numFmtId="1" fontId="5" fillId="0" borderId="0" xfId="0" applyNumberFormat="1" applyFont="1"/>
    <xf numFmtId="0" fontId="5" fillId="0" borderId="0" xfId="0" applyFont="1" applyAlignment="1">
      <alignment horizontal="center"/>
    </xf>
    <xf numFmtId="166" fontId="5" fillId="0" borderId="12" xfId="3" applyNumberFormat="1" applyFont="1" applyFill="1" applyBorder="1" applyAlignment="1">
      <alignment horizontal="right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2" applyFont="1" applyBorder="1"/>
    <xf numFmtId="0" fontId="2" fillId="0" borderId="4" xfId="2" applyFont="1" applyBorder="1"/>
    <xf numFmtId="168" fontId="2" fillId="0" borderId="12" xfId="3" applyNumberFormat="1" applyFont="1" applyFill="1" applyBorder="1" applyAlignment="1">
      <alignment horizontal="right" vertical="center"/>
    </xf>
    <xf numFmtId="167" fontId="2" fillId="5" borderId="12" xfId="1" applyNumberFormat="1" applyFont="1" applyFill="1" applyBorder="1" applyAlignment="1">
      <alignment horizontal="center" vertical="center" wrapText="1"/>
    </xf>
    <xf numFmtId="0" fontId="2" fillId="0" borderId="12" xfId="2" applyFont="1" applyBorder="1" applyAlignment="1">
      <alignment vertical="top" wrapText="1"/>
    </xf>
    <xf numFmtId="9" fontId="2" fillId="0" borderId="12" xfId="2" applyNumberFormat="1" applyFont="1" applyFill="1" applyBorder="1" applyAlignment="1">
      <alignment horizontal="center" vertical="center"/>
    </xf>
    <xf numFmtId="9" fontId="5" fillId="0" borderId="12" xfId="1" applyFont="1" applyFill="1" applyBorder="1" applyAlignment="1">
      <alignment horizontal="center" vertical="center"/>
    </xf>
    <xf numFmtId="171" fontId="5" fillId="0" borderId="0" xfId="9" applyNumberFormat="1" applyFont="1"/>
    <xf numFmtId="0" fontId="2" fillId="6" borderId="0" xfId="4" applyFont="1" applyFill="1"/>
    <xf numFmtId="9" fontId="5" fillId="0" borderId="12" xfId="7" applyNumberFormat="1" applyFont="1" applyFill="1" applyBorder="1" applyAlignment="1">
      <alignment horizontal="center" vertical="center"/>
    </xf>
    <xf numFmtId="0" fontId="5" fillId="6" borderId="12" xfId="2" applyFont="1" applyFill="1" applyBorder="1" applyAlignment="1">
      <alignment horizontal="left" vertical="top" wrapText="1"/>
    </xf>
    <xf numFmtId="0" fontId="2" fillId="0" borderId="12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167" fontId="2" fillId="5" borderId="12" xfId="2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2" xfId="2" applyFont="1" applyBorder="1" applyAlignment="1">
      <alignment horizontal="left" vertical="top" wrapText="1"/>
    </xf>
    <xf numFmtId="10" fontId="2" fillId="5" borderId="12" xfId="2" applyNumberFormat="1" applyFont="1" applyFill="1" applyBorder="1" applyAlignment="1">
      <alignment horizontal="center" vertical="center" wrapText="1"/>
    </xf>
    <xf numFmtId="0" fontId="5" fillId="0" borderId="12" xfId="7" applyFont="1" applyFill="1" applyBorder="1" applyAlignment="1">
      <alignment horizontal="left" vertical="top" wrapText="1"/>
    </xf>
    <xf numFmtId="0" fontId="5" fillId="0" borderId="0" xfId="0" applyFont="1" applyFill="1"/>
    <xf numFmtId="0" fontId="10" fillId="3" borderId="12" xfId="2" applyFont="1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 wrapText="1"/>
    </xf>
    <xf numFmtId="1" fontId="2" fillId="0" borderId="12" xfId="2" applyNumberFormat="1" applyFont="1" applyFill="1" applyBorder="1" applyAlignment="1">
      <alignment horizontal="center" vertical="center"/>
    </xf>
    <xf numFmtId="167" fontId="3" fillId="0" borderId="12" xfId="2" applyNumberFormat="1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 wrapText="1"/>
    </xf>
    <xf numFmtId="10" fontId="2" fillId="5" borderId="12" xfId="2" applyNumberFormat="1" applyFont="1" applyFill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top" wrapText="1"/>
    </xf>
    <xf numFmtId="0" fontId="3" fillId="3" borderId="12" xfId="2" applyFont="1" applyFill="1" applyBorder="1" applyAlignment="1">
      <alignment horizontal="center" vertical="center" wrapText="1"/>
    </xf>
    <xf numFmtId="0" fontId="2" fillId="0" borderId="12" xfId="2" applyFont="1" applyBorder="1" applyAlignment="1">
      <alignment horizontal="left" vertical="top" wrapText="1"/>
    </xf>
    <xf numFmtId="10" fontId="3" fillId="0" borderId="12" xfId="2" applyNumberFormat="1" applyFont="1" applyFill="1" applyBorder="1" applyAlignment="1">
      <alignment horizontal="center" vertical="center"/>
    </xf>
    <xf numFmtId="9" fontId="2" fillId="0" borderId="12" xfId="1" applyFont="1" applyFill="1" applyBorder="1" applyAlignment="1">
      <alignment horizontal="center" vertical="center" wrapText="1"/>
    </xf>
    <xf numFmtId="9" fontId="2" fillId="5" borderId="12" xfId="1" applyFont="1" applyFill="1" applyBorder="1" applyAlignment="1">
      <alignment horizontal="center" vertical="center"/>
    </xf>
    <xf numFmtId="166" fontId="2" fillId="0" borderId="12" xfId="3" applyNumberFormat="1" applyFont="1" applyFill="1" applyBorder="1" applyAlignment="1">
      <alignment horizontal="center" vertical="center" wrapText="1"/>
    </xf>
    <xf numFmtId="2" fontId="5" fillId="0" borderId="12" xfId="3" applyNumberFormat="1" applyFont="1" applyFill="1" applyBorder="1" applyAlignment="1">
      <alignment horizontal="center" vertical="center" wrapText="1"/>
    </xf>
    <xf numFmtId="9" fontId="2" fillId="5" borderId="12" xfId="2" applyNumberFormat="1" applyFont="1" applyFill="1" applyBorder="1" applyAlignment="1">
      <alignment horizontal="center" vertical="center"/>
    </xf>
    <xf numFmtId="9" fontId="3" fillId="0" borderId="12" xfId="2" applyNumberFormat="1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 wrapText="1"/>
    </xf>
    <xf numFmtId="10" fontId="2" fillId="5" borderId="12" xfId="2" applyNumberFormat="1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10" fontId="11" fillId="0" borderId="12" xfId="0" applyNumberFormat="1" applyFont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10" fontId="2" fillId="5" borderId="12" xfId="2" applyNumberFormat="1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167" fontId="2" fillId="5" borderId="12" xfId="2" applyNumberFormat="1" applyFont="1" applyFill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/>
    </xf>
    <xf numFmtId="9" fontId="2" fillId="0" borderId="12" xfId="1" applyFont="1" applyFill="1" applyBorder="1" applyAlignment="1">
      <alignment horizontal="center" vertical="center" wrapText="1"/>
    </xf>
    <xf numFmtId="10" fontId="2" fillId="5" borderId="14" xfId="2" applyNumberFormat="1" applyFont="1" applyFill="1" applyBorder="1" applyAlignment="1">
      <alignment horizontal="center" vertical="center" wrapText="1"/>
    </xf>
    <xf numFmtId="10" fontId="5" fillId="5" borderId="14" xfId="2" applyNumberFormat="1" applyFont="1" applyFill="1" applyBorder="1" applyAlignment="1">
      <alignment horizontal="center" vertical="center"/>
    </xf>
    <xf numFmtId="0" fontId="2" fillId="0" borderId="12" xfId="2" applyFont="1" applyBorder="1" applyAlignment="1">
      <alignment horizontal="left" vertical="top" wrapText="1"/>
    </xf>
    <xf numFmtId="10" fontId="2" fillId="5" borderId="12" xfId="1" applyNumberFormat="1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left" vertical="top" wrapText="1"/>
    </xf>
    <xf numFmtId="9" fontId="2" fillId="0" borderId="12" xfId="1" applyFont="1" applyFill="1" applyBorder="1" applyAlignment="1">
      <alignment horizontal="center" vertical="center"/>
    </xf>
    <xf numFmtId="9" fontId="5" fillId="0" borderId="12" xfId="2" applyNumberFormat="1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 wrapText="1"/>
    </xf>
    <xf numFmtId="10" fontId="2" fillId="5" borderId="14" xfId="1" applyNumberFormat="1" applyFont="1" applyFill="1" applyBorder="1" applyAlignment="1">
      <alignment horizontal="center" vertical="center" wrapText="1"/>
    </xf>
    <xf numFmtId="10" fontId="2" fillId="5" borderId="6" xfId="1" applyNumberFormat="1" applyFont="1" applyFill="1" applyBorder="1" applyAlignment="1">
      <alignment horizontal="center" vertical="center" wrapText="1"/>
    </xf>
    <xf numFmtId="9" fontId="5" fillId="5" borderId="12" xfId="2" applyNumberFormat="1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justify" vertical="center" wrapText="1"/>
    </xf>
    <xf numFmtId="169" fontId="2" fillId="0" borderId="10" xfId="2" applyNumberFormat="1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 wrapText="1"/>
    </xf>
    <xf numFmtId="10" fontId="2" fillId="5" borderId="12" xfId="1" applyNumberFormat="1" applyFont="1" applyFill="1" applyBorder="1" applyAlignment="1">
      <alignment horizontal="center" vertical="center" wrapText="1"/>
    </xf>
    <xf numFmtId="10" fontId="2" fillId="5" borderId="12" xfId="2" applyNumberFormat="1" applyFont="1" applyFill="1" applyBorder="1" applyAlignment="1">
      <alignment horizontal="center" vertical="center" wrapText="1"/>
    </xf>
    <xf numFmtId="2" fontId="2" fillId="0" borderId="12" xfId="3" applyNumberFormat="1" applyFont="1" applyFill="1" applyBorder="1" applyAlignment="1">
      <alignment horizontal="center" vertical="center"/>
    </xf>
    <xf numFmtId="9" fontId="2" fillId="0" borderId="12" xfId="2" applyNumberFormat="1" applyFont="1" applyBorder="1" applyAlignment="1">
      <alignment horizontal="center" vertical="center"/>
    </xf>
    <xf numFmtId="10" fontId="5" fillId="5" borderId="12" xfId="2" applyNumberFormat="1" applyFont="1" applyFill="1" applyBorder="1" applyAlignment="1">
      <alignment horizontal="center" vertical="center" wrapText="1"/>
    </xf>
    <xf numFmtId="167" fontId="5" fillId="5" borderId="12" xfId="2" applyNumberFormat="1" applyFont="1" applyFill="1" applyBorder="1" applyAlignment="1">
      <alignment horizontal="center" vertical="center"/>
    </xf>
    <xf numFmtId="9" fontId="2" fillId="6" borderId="12" xfId="1" applyFont="1" applyFill="1" applyBorder="1" applyAlignment="1">
      <alignment horizontal="center" vertical="center"/>
    </xf>
    <xf numFmtId="9" fontId="5" fillId="6" borderId="12" xfId="2" applyNumberFormat="1" applyFont="1" applyFill="1" applyBorder="1" applyAlignment="1">
      <alignment horizontal="center" vertical="center"/>
    </xf>
    <xf numFmtId="0" fontId="15" fillId="7" borderId="6" xfId="4" applyFont="1" applyFill="1" applyBorder="1" applyAlignment="1">
      <alignment horizontal="center" vertical="center"/>
    </xf>
    <xf numFmtId="0" fontId="16" fillId="7" borderId="6" xfId="4" applyFont="1" applyFill="1" applyBorder="1" applyAlignment="1">
      <alignment wrapText="1"/>
    </xf>
    <xf numFmtId="167" fontId="15" fillId="8" borderId="6" xfId="5" applyNumberFormat="1" applyFont="1" applyFill="1" applyBorder="1" applyAlignment="1">
      <alignment horizontal="center" vertical="center"/>
    </xf>
    <xf numFmtId="0" fontId="15" fillId="7" borderId="12" xfId="4" applyFont="1" applyFill="1" applyBorder="1" applyAlignment="1">
      <alignment horizontal="center" vertical="center"/>
    </xf>
    <xf numFmtId="0" fontId="16" fillId="7" borderId="12" xfId="4" applyFont="1" applyFill="1" applyBorder="1" applyAlignment="1">
      <alignment horizontal="left" vertical="top" wrapText="1"/>
    </xf>
    <xf numFmtId="0" fontId="2" fillId="6" borderId="0" xfId="4" applyFont="1" applyFill="1" applyAlignment="1">
      <alignment horizontal="center" vertical="center"/>
    </xf>
    <xf numFmtId="10" fontId="2" fillId="5" borderId="12" xfId="2" applyNumberFormat="1" applyFont="1" applyFill="1" applyBorder="1" applyAlignment="1">
      <alignment horizontal="center" vertical="center" wrapText="1"/>
    </xf>
    <xf numFmtId="10" fontId="2" fillId="5" borderId="12" xfId="2" applyNumberFormat="1" applyFont="1" applyFill="1" applyBorder="1" applyAlignment="1">
      <alignment horizontal="center" vertical="center" wrapText="1"/>
    </xf>
    <xf numFmtId="10" fontId="5" fillId="0" borderId="0" xfId="0" applyNumberFormat="1" applyFont="1"/>
    <xf numFmtId="10" fontId="3" fillId="0" borderId="6" xfId="1" applyNumberFormat="1" applyFont="1" applyFill="1" applyBorder="1" applyAlignment="1">
      <alignment horizontal="center" vertical="center" wrapText="1"/>
    </xf>
    <xf numFmtId="10" fontId="5" fillId="5" borderId="12" xfId="2" applyNumberFormat="1" applyFont="1" applyFill="1" applyBorder="1" applyAlignment="1">
      <alignment horizontal="center" vertical="center"/>
    </xf>
    <xf numFmtId="9" fontId="2" fillId="5" borderId="12" xfId="2" applyNumberFormat="1" applyFont="1" applyFill="1" applyBorder="1" applyAlignment="1">
      <alignment horizontal="center" vertical="center" wrapText="1"/>
    </xf>
    <xf numFmtId="167" fontId="11" fillId="0" borderId="12" xfId="0" applyNumberFormat="1" applyFont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left" vertical="top" wrapText="1"/>
    </xf>
    <xf numFmtId="0" fontId="2" fillId="0" borderId="12" xfId="2" applyFont="1" applyFill="1" applyBorder="1" applyAlignment="1">
      <alignment horizontal="center" vertical="center" wrapText="1"/>
    </xf>
    <xf numFmtId="169" fontId="2" fillId="0" borderId="12" xfId="2" applyNumberFormat="1" applyFont="1" applyFill="1" applyBorder="1" applyAlignment="1">
      <alignment horizontal="center" vertical="center"/>
    </xf>
    <xf numFmtId="10" fontId="2" fillId="5" borderId="12" xfId="2" applyNumberFormat="1" applyFont="1" applyFill="1" applyBorder="1" applyAlignment="1">
      <alignment horizontal="center" vertical="center" wrapText="1"/>
    </xf>
    <xf numFmtId="10" fontId="5" fillId="5" borderId="12" xfId="2" applyNumberFormat="1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 wrapText="1"/>
    </xf>
    <xf numFmtId="10" fontId="2" fillId="5" borderId="14" xfId="2" applyNumberFormat="1" applyFont="1" applyFill="1" applyBorder="1" applyAlignment="1">
      <alignment horizontal="center" vertical="center" wrapText="1"/>
    </xf>
    <xf numFmtId="172" fontId="2" fillId="0" borderId="12" xfId="2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/>
    </xf>
    <xf numFmtId="9" fontId="2" fillId="0" borderId="12" xfId="1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wrapText="1"/>
    </xf>
    <xf numFmtId="0" fontId="18" fillId="6" borderId="0" xfId="2" applyFont="1" applyFill="1" applyAlignment="1">
      <alignment horizontal="right" wrapText="1"/>
    </xf>
    <xf numFmtId="0" fontId="18" fillId="0" borderId="0" xfId="2" applyFont="1" applyAlignment="1">
      <alignment horizontal="right" wrapText="1"/>
    </xf>
    <xf numFmtId="0" fontId="18" fillId="0" borderId="0" xfId="2" applyFont="1" applyBorder="1" applyAlignment="1">
      <alignment horizontal="right" wrapText="1"/>
    </xf>
    <xf numFmtId="0" fontId="2" fillId="0" borderId="12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10" fontId="5" fillId="5" borderId="12" xfId="2" applyNumberFormat="1" applyFont="1" applyFill="1" applyBorder="1" applyAlignment="1">
      <alignment horizontal="center" vertical="center"/>
    </xf>
    <xf numFmtId="10" fontId="2" fillId="5" borderId="12" xfId="2" applyNumberFormat="1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9" fontId="2" fillId="5" borderId="12" xfId="1" applyFont="1" applyFill="1" applyBorder="1" applyAlignment="1">
      <alignment horizontal="center" vertical="center" wrapText="1"/>
    </xf>
    <xf numFmtId="167" fontId="2" fillId="5" borderId="12" xfId="2" applyNumberFormat="1" applyFont="1" applyFill="1" applyBorder="1" applyAlignment="1">
      <alignment horizontal="center" vertical="center" wrapText="1"/>
    </xf>
    <xf numFmtId="1" fontId="2" fillId="0" borderId="12" xfId="3" applyNumberFormat="1" applyFont="1" applyFill="1" applyBorder="1" applyAlignment="1">
      <alignment horizontal="center" vertical="center"/>
    </xf>
    <xf numFmtId="9" fontId="2" fillId="5" borderId="12" xfId="2" applyNumberFormat="1" applyFont="1" applyFill="1" applyBorder="1" applyAlignment="1">
      <alignment horizontal="center" vertical="center" wrapText="1"/>
    </xf>
    <xf numFmtId="9" fontId="2" fillId="0" borderId="12" xfId="1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  <xf numFmtId="9" fontId="2" fillId="5" borderId="1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9" fontId="2" fillId="0" borderId="12" xfId="1" applyFont="1" applyFill="1" applyBorder="1" applyAlignment="1">
      <alignment horizontal="center" vertical="center"/>
    </xf>
    <xf numFmtId="9" fontId="5" fillId="0" borderId="12" xfId="2" applyNumberFormat="1" applyFont="1" applyFill="1" applyBorder="1" applyAlignment="1">
      <alignment horizontal="center" vertical="center"/>
    </xf>
    <xf numFmtId="9" fontId="2" fillId="0" borderId="12" xfId="1" applyFont="1" applyFill="1" applyBorder="1" applyAlignment="1">
      <alignment horizontal="center" vertical="center" wrapText="1"/>
    </xf>
    <xf numFmtId="9" fontId="2" fillId="0" borderId="12" xfId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vertical="center" wrapText="1"/>
    </xf>
    <xf numFmtId="166" fontId="5" fillId="0" borderId="12" xfId="3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2" fillId="0" borderId="12" xfId="2" applyFont="1" applyFill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top" wrapText="1"/>
    </xf>
    <xf numFmtId="0" fontId="2" fillId="0" borderId="12" xfId="2" applyFont="1" applyBorder="1" applyAlignment="1">
      <alignment horizontal="left" vertical="top" wrapText="1"/>
    </xf>
    <xf numFmtId="0" fontId="5" fillId="0" borderId="12" xfId="2" applyFont="1" applyBorder="1" applyAlignment="1">
      <alignment horizontal="left" vertical="top" wrapText="1"/>
    </xf>
    <xf numFmtId="1" fontId="2" fillId="0" borderId="12" xfId="3" applyNumberFormat="1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 wrapText="1"/>
    </xf>
    <xf numFmtId="1" fontId="2" fillId="0" borderId="14" xfId="2" applyNumberFormat="1" applyFont="1" applyFill="1" applyBorder="1" applyAlignment="1">
      <alignment horizontal="center" vertical="center"/>
    </xf>
    <xf numFmtId="0" fontId="2" fillId="0" borderId="12" xfId="2" applyFont="1" applyBorder="1" applyAlignment="1">
      <alignment horizontal="left" vertical="top" wrapText="1"/>
    </xf>
    <xf numFmtId="169" fontId="2" fillId="0" borderId="12" xfId="2" applyNumberFormat="1" applyFont="1" applyFill="1" applyBorder="1" applyAlignment="1">
      <alignment horizontal="center" vertical="center"/>
    </xf>
    <xf numFmtId="10" fontId="2" fillId="5" borderId="12" xfId="2" applyNumberFormat="1" applyFont="1" applyFill="1" applyBorder="1" applyAlignment="1">
      <alignment horizontal="center" vertical="center" wrapText="1"/>
    </xf>
    <xf numFmtId="9" fontId="2" fillId="0" borderId="12" xfId="1" applyFont="1" applyFill="1" applyBorder="1" applyAlignment="1">
      <alignment horizontal="center" vertical="center"/>
    </xf>
    <xf numFmtId="10" fontId="2" fillId="0" borderId="0" xfId="2" applyNumberFormat="1" applyFont="1"/>
    <xf numFmtId="9" fontId="5" fillId="0" borderId="0" xfId="0" applyNumberFormat="1" applyFont="1"/>
    <xf numFmtId="0" fontId="2" fillId="0" borderId="12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top" wrapText="1"/>
    </xf>
    <xf numFmtId="10" fontId="2" fillId="6" borderId="0" xfId="2" applyNumberFormat="1" applyFont="1" applyFill="1"/>
    <xf numFmtId="0" fontId="5" fillId="0" borderId="12" xfId="0" applyFont="1" applyBorder="1" applyAlignment="1">
      <alignment horizontal="left" vertical="top" wrapText="1"/>
    </xf>
    <xf numFmtId="0" fontId="2" fillId="0" borderId="12" xfId="2" applyFont="1" applyBorder="1" applyAlignment="1">
      <alignment horizontal="left" vertical="top" wrapText="1"/>
    </xf>
    <xf numFmtId="10" fontId="2" fillId="5" borderId="12" xfId="2" applyNumberFormat="1" applyFont="1" applyFill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top" wrapText="1"/>
    </xf>
    <xf numFmtId="0" fontId="2" fillId="0" borderId="12" xfId="2" applyFont="1" applyFill="1" applyBorder="1" applyAlignment="1">
      <alignment horizontal="left" vertical="top" wrapText="1"/>
    </xf>
    <xf numFmtId="9" fontId="2" fillId="0" borderId="12" xfId="1" applyFont="1" applyFill="1" applyBorder="1" applyAlignment="1">
      <alignment horizontal="center" vertical="center"/>
    </xf>
    <xf numFmtId="9" fontId="5" fillId="0" borderId="12" xfId="2" applyNumberFormat="1" applyFont="1" applyFill="1" applyBorder="1" applyAlignment="1">
      <alignment horizontal="center" vertical="center"/>
    </xf>
    <xf numFmtId="0" fontId="2" fillId="6" borderId="12" xfId="2" applyFont="1" applyFill="1" applyBorder="1" applyAlignment="1">
      <alignment horizontal="left" vertical="top" wrapText="1"/>
    </xf>
    <xf numFmtId="0" fontId="6" fillId="4" borderId="12" xfId="4" applyFont="1" applyFill="1" applyBorder="1" applyAlignment="1">
      <alignment horizontal="center" vertical="center"/>
    </xf>
    <xf numFmtId="9" fontId="6" fillId="4" borderId="12" xfId="4" applyNumberFormat="1" applyFont="1" applyFill="1" applyBorder="1" applyAlignment="1">
      <alignment horizontal="center" vertical="center"/>
    </xf>
    <xf numFmtId="0" fontId="4" fillId="4" borderId="19" xfId="4" applyFont="1" applyFill="1" applyBorder="1" applyAlignment="1">
      <alignment horizontal="center" vertical="center"/>
    </xf>
    <xf numFmtId="9" fontId="5" fillId="0" borderId="12" xfId="1" applyFont="1" applyFill="1" applyBorder="1" applyAlignment="1">
      <alignment horizontal="center" vertical="center" wrapText="1"/>
    </xf>
    <xf numFmtId="9" fontId="5" fillId="0" borderId="12" xfId="2" applyNumberFormat="1" applyFont="1" applyFill="1" applyBorder="1" applyAlignment="1">
      <alignment horizontal="center" vertical="center" wrapText="1"/>
    </xf>
    <xf numFmtId="0" fontId="2" fillId="0" borderId="12" xfId="2" applyFont="1" applyBorder="1" applyAlignment="1">
      <alignment horizontal="left" vertical="top" wrapText="1"/>
    </xf>
    <xf numFmtId="0" fontId="2" fillId="0" borderId="12" xfId="2" applyFont="1" applyFill="1" applyBorder="1" applyAlignment="1">
      <alignment horizontal="left" vertical="top" wrapText="1"/>
    </xf>
    <xf numFmtId="10" fontId="2" fillId="5" borderId="12" xfId="2" applyNumberFormat="1" applyFont="1" applyFill="1" applyBorder="1" applyAlignment="1">
      <alignment horizontal="center" vertical="center" wrapText="1"/>
    </xf>
    <xf numFmtId="167" fontId="5" fillId="5" borderId="22" xfId="2" applyNumberFormat="1" applyFont="1" applyFill="1" applyBorder="1" applyAlignment="1">
      <alignment horizontal="center" vertical="center"/>
    </xf>
    <xf numFmtId="9" fontId="2" fillId="0" borderId="22" xfId="0" applyNumberFormat="1" applyFont="1" applyBorder="1" applyAlignment="1">
      <alignment horizontal="left" vertical="top" wrapText="1"/>
    </xf>
    <xf numFmtId="9" fontId="2" fillId="0" borderId="12" xfId="0" applyNumberFormat="1" applyFont="1" applyBorder="1" applyAlignment="1">
      <alignment horizontal="left" vertical="top" wrapText="1"/>
    </xf>
    <xf numFmtId="0" fontId="2" fillId="0" borderId="12" xfId="2" applyFont="1" applyFill="1" applyBorder="1" applyAlignment="1">
      <alignment horizontal="center" vertical="center" wrapText="1"/>
    </xf>
    <xf numFmtId="167" fontId="15" fillId="8" borderId="12" xfId="5" applyNumberFormat="1" applyFont="1" applyFill="1" applyBorder="1" applyAlignment="1">
      <alignment horizontal="center" vertical="center"/>
    </xf>
    <xf numFmtId="0" fontId="2" fillId="0" borderId="12" xfId="2" applyFont="1" applyBorder="1" applyAlignment="1">
      <alignment horizontal="left" vertical="top" wrapText="1"/>
    </xf>
    <xf numFmtId="0" fontId="2" fillId="0" borderId="12" xfId="2" applyFont="1" applyFill="1" applyBorder="1" applyAlignment="1">
      <alignment horizontal="left" vertical="top" wrapText="1"/>
    </xf>
    <xf numFmtId="0" fontId="2" fillId="0" borderId="12" xfId="2" applyFont="1" applyBorder="1" applyAlignment="1">
      <alignment horizontal="left" vertical="top" wrapText="1"/>
    </xf>
    <xf numFmtId="0" fontId="2" fillId="0" borderId="12" xfId="2" applyFont="1" applyBorder="1" applyAlignment="1">
      <alignment horizontal="left" vertical="top" wrapText="1"/>
    </xf>
    <xf numFmtId="169" fontId="2" fillId="0" borderId="12" xfId="2" applyNumberFormat="1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left" vertical="top" wrapText="1"/>
    </xf>
    <xf numFmtId="0" fontId="5" fillId="0" borderId="12" xfId="2" applyFont="1" applyBorder="1" applyAlignment="1">
      <alignment horizontal="left" vertical="top" wrapText="1"/>
    </xf>
    <xf numFmtId="1" fontId="2" fillId="0" borderId="12" xfId="3" applyNumberFormat="1" applyFont="1" applyFill="1" applyBorder="1" applyAlignment="1">
      <alignment horizontal="center" vertical="center"/>
    </xf>
    <xf numFmtId="9" fontId="2" fillId="0" borderId="12" xfId="1" applyFont="1" applyFill="1" applyBorder="1" applyAlignment="1">
      <alignment horizontal="center" vertical="center"/>
    </xf>
    <xf numFmtId="9" fontId="2" fillId="5" borderId="12" xfId="1" applyNumberFormat="1" applyFont="1" applyFill="1" applyBorder="1" applyAlignment="1">
      <alignment horizontal="center" vertical="center" wrapText="1"/>
    </xf>
    <xf numFmtId="9" fontId="2" fillId="5" borderId="12" xfId="2" applyNumberFormat="1" applyFont="1" applyFill="1" applyBorder="1" applyAlignment="1">
      <alignment horizontal="center" vertical="center" wrapText="1"/>
    </xf>
    <xf numFmtId="9" fontId="2" fillId="5" borderId="12" xfId="2" applyNumberFormat="1" applyFont="1" applyFill="1" applyBorder="1" applyAlignment="1">
      <alignment horizontal="center" vertical="center" wrapText="1"/>
    </xf>
    <xf numFmtId="9" fontId="5" fillId="0" borderId="12" xfId="1" applyNumberFormat="1" applyFont="1" applyFill="1" applyBorder="1" applyAlignment="1">
      <alignment horizontal="center" vertical="center" wrapText="1"/>
    </xf>
    <xf numFmtId="9" fontId="2" fillId="0" borderId="12" xfId="1" applyFont="1" applyFill="1" applyBorder="1" applyAlignment="1">
      <alignment horizontal="center" vertical="center"/>
    </xf>
    <xf numFmtId="9" fontId="5" fillId="0" borderId="12" xfId="2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5" fillId="0" borderId="12" xfId="2" applyFont="1" applyBorder="1" applyAlignment="1">
      <alignment horizontal="left" vertical="top" wrapText="1"/>
    </xf>
    <xf numFmtId="0" fontId="2" fillId="0" borderId="12" xfId="0" applyFont="1" applyBorder="1" applyAlignment="1">
      <alignment vertical="top" wrapText="1"/>
    </xf>
    <xf numFmtId="0" fontId="5" fillId="0" borderId="0" xfId="0" applyFont="1" applyAlignment="1">
      <alignment horizontal="justify" vertical="top"/>
    </xf>
    <xf numFmtId="10" fontId="2" fillId="5" borderId="12" xfId="2" applyNumberFormat="1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9" fontId="2" fillId="0" borderId="12" xfId="1" applyFont="1" applyFill="1" applyBorder="1" applyAlignment="1">
      <alignment horizontal="center" vertical="center"/>
    </xf>
    <xf numFmtId="9" fontId="2" fillId="0" borderId="12" xfId="2" applyNumberFormat="1" applyFont="1" applyFill="1" applyBorder="1" applyAlignment="1">
      <alignment horizontal="center" vertical="center" wrapText="1"/>
    </xf>
    <xf numFmtId="9" fontId="5" fillId="0" borderId="12" xfId="2" applyNumberFormat="1" applyFont="1" applyFill="1" applyBorder="1" applyAlignment="1">
      <alignment horizontal="center" vertical="center" wrapText="1"/>
    </xf>
    <xf numFmtId="9" fontId="2" fillId="0" borderId="12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top" wrapText="1"/>
    </xf>
    <xf numFmtId="0" fontId="2" fillId="0" borderId="12" xfId="2" applyFont="1" applyBorder="1" applyAlignment="1">
      <alignment horizontal="left" vertical="top" wrapText="1"/>
    </xf>
    <xf numFmtId="0" fontId="2" fillId="0" borderId="12" xfId="2" applyFont="1" applyFill="1" applyBorder="1" applyAlignment="1">
      <alignment horizontal="left" vertical="top" wrapText="1"/>
    </xf>
    <xf numFmtId="9" fontId="5" fillId="0" borderId="12" xfId="1" applyNumberFormat="1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top" wrapText="1"/>
    </xf>
    <xf numFmtId="0" fontId="2" fillId="0" borderId="12" xfId="2" applyFont="1" applyBorder="1" applyAlignment="1">
      <alignment horizontal="left" vertical="top" wrapText="1"/>
    </xf>
    <xf numFmtId="169" fontId="2" fillId="0" borderId="12" xfId="2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1" fontId="2" fillId="0" borderId="12" xfId="3" applyNumberFormat="1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168" fontId="5" fillId="0" borderId="12" xfId="3" applyNumberFormat="1" applyFont="1" applyBorder="1" applyAlignment="1">
      <alignment horizontal="center" vertical="center"/>
    </xf>
    <xf numFmtId="0" fontId="2" fillId="0" borderId="12" xfId="2" applyFont="1" applyBorder="1" applyAlignment="1">
      <alignment horizontal="left" vertical="top" wrapText="1"/>
    </xf>
    <xf numFmtId="0" fontId="2" fillId="0" borderId="12" xfId="2" applyFont="1" applyFill="1" applyBorder="1" applyAlignment="1">
      <alignment horizontal="left" vertical="top" wrapText="1"/>
    </xf>
    <xf numFmtId="0" fontId="5" fillId="0" borderId="12" xfId="2" applyFont="1" applyBorder="1" applyAlignment="1">
      <alignment horizontal="left" vertical="top" wrapText="1"/>
    </xf>
    <xf numFmtId="9" fontId="5" fillId="0" borderId="12" xfId="1" applyFont="1" applyFill="1" applyBorder="1" applyAlignment="1">
      <alignment horizontal="center" vertical="center" wrapText="1"/>
    </xf>
    <xf numFmtId="0" fontId="2" fillId="0" borderId="12" xfId="2" applyFont="1" applyBorder="1" applyAlignment="1">
      <alignment horizontal="left" vertical="top" wrapText="1"/>
    </xf>
    <xf numFmtId="0" fontId="2" fillId="0" borderId="12" xfId="2" applyFont="1" applyFill="1" applyBorder="1" applyAlignment="1">
      <alignment horizontal="left" vertical="top" wrapText="1"/>
    </xf>
    <xf numFmtId="0" fontId="2" fillId="0" borderId="12" xfId="2" applyFont="1" applyBorder="1" applyAlignment="1">
      <alignment horizontal="left" vertical="top" wrapText="1"/>
    </xf>
    <xf numFmtId="169" fontId="2" fillId="0" borderId="12" xfId="2" applyNumberFormat="1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left" vertical="top" wrapText="1"/>
    </xf>
    <xf numFmtId="9" fontId="2" fillId="5" borderId="12" xfId="2" applyNumberFormat="1" applyFont="1" applyFill="1" applyBorder="1" applyAlignment="1">
      <alignment horizontal="center" vertical="center" wrapText="1"/>
    </xf>
    <xf numFmtId="167" fontId="2" fillId="5" borderId="12" xfId="2" applyNumberFormat="1" applyFont="1" applyFill="1" applyBorder="1" applyAlignment="1">
      <alignment horizontal="center" vertical="center" wrapText="1"/>
    </xf>
    <xf numFmtId="9" fontId="2" fillId="0" borderId="12" xfId="1" applyFont="1" applyFill="1" applyBorder="1" applyAlignment="1">
      <alignment horizontal="center" vertical="center"/>
    </xf>
    <xf numFmtId="0" fontId="2" fillId="0" borderId="12" xfId="2" applyFont="1" applyBorder="1" applyAlignment="1">
      <alignment horizontal="left" vertical="top" wrapText="1"/>
    </xf>
    <xf numFmtId="0" fontId="2" fillId="0" borderId="12" xfId="2" applyFont="1" applyFill="1" applyBorder="1" applyAlignment="1">
      <alignment horizontal="left" vertical="top" wrapText="1"/>
    </xf>
    <xf numFmtId="0" fontId="2" fillId="0" borderId="14" xfId="2" applyNumberFormat="1" applyFont="1" applyBorder="1" applyAlignment="1">
      <alignment horizontal="left" vertical="top" wrapText="1"/>
    </xf>
    <xf numFmtId="0" fontId="5" fillId="0" borderId="12" xfId="2" applyFont="1" applyBorder="1" applyAlignment="1">
      <alignment horizontal="left" vertical="top" wrapText="1"/>
    </xf>
    <xf numFmtId="10" fontId="3" fillId="0" borderId="12" xfId="2" applyNumberFormat="1" applyFont="1" applyBorder="1" applyAlignment="1">
      <alignment horizontal="center"/>
    </xf>
    <xf numFmtId="0" fontId="2" fillId="0" borderId="12" xfId="2" applyFont="1" applyFill="1" applyBorder="1" applyAlignment="1">
      <alignment horizontal="center" vertical="center" wrapText="1"/>
    </xf>
    <xf numFmtId="9" fontId="2" fillId="5" borderId="12" xfId="2" applyNumberFormat="1" applyFont="1" applyFill="1" applyBorder="1" applyAlignment="1">
      <alignment horizontal="center" vertical="center" wrapText="1"/>
    </xf>
    <xf numFmtId="171" fontId="2" fillId="0" borderId="0" xfId="2" applyNumberFormat="1" applyFont="1"/>
    <xf numFmtId="0" fontId="3" fillId="6" borderId="12" xfId="4" applyFont="1" applyFill="1" applyBorder="1"/>
    <xf numFmtId="9" fontId="4" fillId="6" borderId="12" xfId="4" applyNumberFormat="1" applyFont="1" applyFill="1" applyBorder="1" applyAlignment="1">
      <alignment horizontal="center"/>
    </xf>
    <xf numFmtId="0" fontId="2" fillId="0" borderId="12" xfId="2" applyFont="1" applyBorder="1" applyAlignment="1">
      <alignment horizontal="left" vertical="top" wrapText="1"/>
    </xf>
    <xf numFmtId="9" fontId="2" fillId="5" borderId="12" xfId="2" applyNumberFormat="1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left" vertical="top" wrapText="1"/>
    </xf>
    <xf numFmtId="9" fontId="5" fillId="0" borderId="12" xfId="1" applyNumberFormat="1" applyFont="1" applyFill="1" applyBorder="1" applyAlignment="1">
      <alignment horizontal="center" vertical="center" wrapText="1"/>
    </xf>
    <xf numFmtId="1" fontId="2" fillId="0" borderId="12" xfId="2" applyNumberFormat="1" applyFont="1" applyFill="1" applyBorder="1" applyAlignment="1">
      <alignment horizontal="center" vertical="center"/>
    </xf>
    <xf numFmtId="9" fontId="5" fillId="0" borderId="5" xfId="1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justify" vertical="top" wrapText="1"/>
    </xf>
    <xf numFmtId="167" fontId="2" fillId="5" borderId="12" xfId="1" applyNumberFormat="1" applyFont="1" applyFill="1" applyBorder="1" applyAlignment="1">
      <alignment horizontal="center" vertical="center"/>
    </xf>
    <xf numFmtId="9" fontId="2" fillId="0" borderId="12" xfId="1" applyFont="1" applyFill="1" applyBorder="1" applyAlignment="1">
      <alignment horizontal="center" vertical="center"/>
    </xf>
    <xf numFmtId="10" fontId="2" fillId="5" borderId="12" xfId="1" applyNumberFormat="1" applyFont="1" applyFill="1" applyBorder="1" applyAlignment="1">
      <alignment horizontal="center" vertical="center" wrapText="1"/>
    </xf>
    <xf numFmtId="10" fontId="2" fillId="5" borderId="14" xfId="2" applyNumberFormat="1" applyFont="1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/>
    </xf>
    <xf numFmtId="9" fontId="2" fillId="5" borderId="12" xfId="2" applyNumberFormat="1" applyFont="1" applyFill="1" applyBorder="1" applyAlignment="1">
      <alignment horizontal="center" vertical="center" wrapText="1"/>
    </xf>
    <xf numFmtId="168" fontId="2" fillId="0" borderId="12" xfId="3" applyNumberFormat="1" applyFont="1" applyFill="1" applyBorder="1" applyAlignment="1">
      <alignment horizontal="center" vertical="center"/>
    </xf>
    <xf numFmtId="1" fontId="2" fillId="0" borderId="12" xfId="3" applyNumberFormat="1" applyFont="1" applyFill="1" applyBorder="1" applyAlignment="1">
      <alignment horizontal="center" vertical="center"/>
    </xf>
    <xf numFmtId="9" fontId="2" fillId="0" borderId="12" xfId="1" applyFont="1" applyFill="1" applyBorder="1" applyAlignment="1">
      <alignment horizontal="center" vertical="center"/>
    </xf>
    <xf numFmtId="10" fontId="2" fillId="5" borderId="12" xfId="2" applyNumberFormat="1" applyFont="1" applyFill="1" applyBorder="1" applyAlignment="1">
      <alignment horizontal="center" vertical="center" wrapText="1"/>
    </xf>
    <xf numFmtId="10" fontId="5" fillId="5" borderId="12" xfId="1" applyNumberFormat="1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2" fillId="0" borderId="14" xfId="2" applyFont="1" applyFill="1" applyBorder="1" applyAlignment="1">
      <alignment horizontal="left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0" fontId="2" fillId="5" borderId="10" xfId="1" applyNumberFormat="1" applyFont="1" applyFill="1" applyBorder="1" applyAlignment="1">
      <alignment horizontal="center" vertical="center" wrapText="1"/>
    </xf>
    <xf numFmtId="168" fontId="5" fillId="0" borderId="14" xfId="3" applyNumberFormat="1" applyFont="1" applyBorder="1" applyAlignment="1">
      <alignment horizontal="center" vertical="center"/>
    </xf>
    <xf numFmtId="10" fontId="7" fillId="6" borderId="0" xfId="4" applyNumberFormat="1" applyFill="1"/>
    <xf numFmtId="10" fontId="7" fillId="6" borderId="0" xfId="1" applyNumberFormat="1" applyFont="1" applyFill="1" applyAlignment="1">
      <alignment horizontal="center"/>
    </xf>
    <xf numFmtId="10" fontId="2" fillId="5" borderId="12" xfId="2" applyNumberFormat="1" applyFont="1" applyFill="1" applyBorder="1" applyAlignment="1">
      <alignment horizontal="center" vertical="center" wrapText="1"/>
    </xf>
    <xf numFmtId="0" fontId="2" fillId="0" borderId="12" xfId="2" applyFont="1" applyBorder="1" applyAlignment="1">
      <alignment horizontal="left" vertical="top" wrapText="1"/>
    </xf>
    <xf numFmtId="9" fontId="2" fillId="0" borderId="12" xfId="1" applyFont="1" applyFill="1" applyBorder="1" applyAlignment="1">
      <alignment horizontal="center" vertical="center"/>
    </xf>
    <xf numFmtId="0" fontId="2" fillId="0" borderId="12" xfId="2" applyFont="1" applyBorder="1" applyAlignment="1">
      <alignment horizontal="left" vertical="top" wrapText="1"/>
    </xf>
    <xf numFmtId="0" fontId="2" fillId="0" borderId="12" xfId="2" applyFont="1" applyFill="1" applyBorder="1" applyAlignment="1">
      <alignment horizontal="left" vertical="top" wrapText="1"/>
    </xf>
    <xf numFmtId="0" fontId="2" fillId="0" borderId="12" xfId="2" applyFont="1" applyBorder="1" applyAlignment="1">
      <alignment horizontal="left" vertical="top" wrapText="1"/>
    </xf>
    <xf numFmtId="169" fontId="2" fillId="0" borderId="12" xfId="2" applyNumberFormat="1" applyFont="1" applyFill="1" applyBorder="1" applyAlignment="1">
      <alignment horizontal="center" vertical="center"/>
    </xf>
    <xf numFmtId="10" fontId="2" fillId="5" borderId="12" xfId="2" applyNumberFormat="1" applyFont="1" applyFill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top" wrapText="1"/>
    </xf>
    <xf numFmtId="0" fontId="9" fillId="4" borderId="12" xfId="0" applyFont="1" applyFill="1" applyBorder="1" applyAlignment="1">
      <alignment horizontal="center" wrapText="1"/>
    </xf>
    <xf numFmtId="0" fontId="8" fillId="4" borderId="2" xfId="4" applyFont="1" applyFill="1" applyBorder="1" applyAlignment="1">
      <alignment horizontal="center" vertical="center"/>
    </xf>
    <xf numFmtId="0" fontId="8" fillId="4" borderId="15" xfId="4" applyFont="1" applyFill="1" applyBorder="1" applyAlignment="1">
      <alignment horizontal="center" vertical="center"/>
    </xf>
    <xf numFmtId="0" fontId="8" fillId="4" borderId="3" xfId="4" applyFont="1" applyFill="1" applyBorder="1" applyAlignment="1">
      <alignment horizontal="center" vertical="center"/>
    </xf>
    <xf numFmtId="0" fontId="2" fillId="0" borderId="12" xfId="2" applyFont="1" applyBorder="1" applyAlignment="1">
      <alignment horizontal="center"/>
    </xf>
    <xf numFmtId="0" fontId="3" fillId="0" borderId="12" xfId="2" applyFont="1" applyFill="1" applyBorder="1" applyAlignment="1">
      <alignment horizontal="center" vertical="center" wrapText="1"/>
    </xf>
    <xf numFmtId="0" fontId="2" fillId="0" borderId="12" xfId="2" applyFont="1" applyBorder="1" applyAlignment="1">
      <alignment wrapText="1"/>
    </xf>
    <xf numFmtId="0" fontId="3" fillId="5" borderId="12" xfId="2" applyFont="1" applyFill="1" applyBorder="1" applyAlignment="1">
      <alignment horizontal="left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0" fillId="0" borderId="12" xfId="0" applyBorder="1"/>
    <xf numFmtId="169" fontId="2" fillId="0" borderId="12" xfId="2" applyNumberFormat="1" applyFont="1" applyFill="1" applyBorder="1" applyAlignment="1">
      <alignment horizontal="center" vertical="center"/>
    </xf>
    <xf numFmtId="10" fontId="2" fillId="5" borderId="12" xfId="2" applyNumberFormat="1" applyFont="1" applyFill="1" applyBorder="1" applyAlignment="1">
      <alignment horizontal="center" vertical="center" wrapText="1"/>
    </xf>
    <xf numFmtId="0" fontId="3" fillId="0" borderId="22" xfId="2" applyFont="1" applyFill="1" applyBorder="1" applyAlignment="1">
      <alignment horizontal="left" vertical="center" wrapText="1"/>
    </xf>
    <xf numFmtId="0" fontId="3" fillId="0" borderId="23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2" fillId="0" borderId="14" xfId="2" applyFont="1" applyFill="1" applyBorder="1" applyAlignment="1">
      <alignment horizontal="left" vertical="top" wrapText="1"/>
    </xf>
    <xf numFmtId="0" fontId="3" fillId="0" borderId="6" xfId="2" applyFont="1" applyFill="1" applyBorder="1" applyAlignment="1">
      <alignment horizontal="left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10" fontId="2" fillId="5" borderId="12" xfId="1" applyNumberFormat="1" applyFont="1" applyFill="1" applyBorder="1" applyAlignment="1">
      <alignment horizontal="center" vertical="center" wrapText="1"/>
    </xf>
    <xf numFmtId="0" fontId="3" fillId="5" borderId="12" xfId="2" applyFont="1" applyFill="1" applyBorder="1" applyAlignment="1">
      <alignment horizontal="center" vertical="center" wrapText="1"/>
    </xf>
    <xf numFmtId="0" fontId="3" fillId="4" borderId="12" xfId="2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0" borderId="17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 shrinkToFit="1"/>
    </xf>
    <xf numFmtId="0" fontId="2" fillId="0" borderId="12" xfId="2" applyFont="1" applyBorder="1" applyAlignment="1">
      <alignment horizontal="left" vertical="top" wrapText="1"/>
    </xf>
    <xf numFmtId="0" fontId="3" fillId="0" borderId="12" xfId="2" applyFont="1" applyBorder="1" applyAlignment="1">
      <alignment horizontal="left" vertical="center" wrapText="1"/>
    </xf>
    <xf numFmtId="10" fontId="5" fillId="5" borderId="12" xfId="2" applyNumberFormat="1" applyFont="1" applyFill="1" applyBorder="1" applyAlignment="1">
      <alignment horizontal="center" vertical="center"/>
    </xf>
    <xf numFmtId="10" fontId="2" fillId="5" borderId="14" xfId="1" applyNumberFormat="1" applyFont="1" applyFill="1" applyBorder="1" applyAlignment="1">
      <alignment horizontal="center" vertical="center" wrapText="1"/>
    </xf>
    <xf numFmtId="10" fontId="2" fillId="5" borderId="6" xfId="1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left" vertical="top" wrapText="1"/>
    </xf>
    <xf numFmtId="0" fontId="2" fillId="0" borderId="14" xfId="2" applyFont="1" applyBorder="1" applyAlignment="1">
      <alignment horizontal="left" vertical="top" wrapText="1"/>
    </xf>
    <xf numFmtId="0" fontId="2" fillId="0" borderId="6" xfId="2" applyFont="1" applyBorder="1" applyAlignment="1">
      <alignment horizontal="left" vertical="top" wrapText="1"/>
    </xf>
    <xf numFmtId="0" fontId="3" fillId="0" borderId="12" xfId="2" applyFont="1" applyFill="1" applyBorder="1" applyAlignment="1">
      <alignment horizontal="right" vertical="center" wrapText="1"/>
    </xf>
    <xf numFmtId="0" fontId="2" fillId="0" borderId="22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1" fontId="2" fillId="0" borderId="12" xfId="2" applyNumberFormat="1" applyFont="1" applyFill="1" applyBorder="1" applyAlignment="1">
      <alignment horizontal="center" vertical="center"/>
    </xf>
    <xf numFmtId="1" fontId="0" fillId="0" borderId="12" xfId="0" applyNumberFormat="1" applyBorder="1"/>
    <xf numFmtId="10" fontId="2" fillId="5" borderId="14" xfId="2" applyNumberFormat="1" applyFont="1" applyFill="1" applyBorder="1" applyAlignment="1">
      <alignment horizontal="center" vertical="center" wrapText="1"/>
    </xf>
    <xf numFmtId="10" fontId="2" fillId="5" borderId="10" xfId="2" applyNumberFormat="1" applyFont="1" applyFill="1" applyBorder="1" applyAlignment="1">
      <alignment horizontal="center" vertical="center" wrapText="1"/>
    </xf>
    <xf numFmtId="10" fontId="2" fillId="5" borderId="6" xfId="2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17" xfId="2" applyFont="1" applyFill="1" applyBorder="1" applyAlignment="1">
      <alignment horizontal="center" vertical="center" wrapText="1"/>
    </xf>
    <xf numFmtId="0" fontId="2" fillId="0" borderId="16" xfId="2" applyFont="1" applyFill="1" applyBorder="1" applyAlignment="1">
      <alignment horizontal="center" vertical="center" wrapText="1"/>
    </xf>
    <xf numFmtId="9" fontId="2" fillId="0" borderId="22" xfId="1" applyFont="1" applyBorder="1" applyAlignment="1">
      <alignment horizontal="center" vertical="center" wrapText="1"/>
    </xf>
    <xf numFmtId="9" fontId="2" fillId="0" borderId="23" xfId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6" borderId="22" xfId="1" applyFont="1" applyFill="1" applyBorder="1" applyAlignment="1">
      <alignment horizontal="center" vertical="center" wrapText="1"/>
    </xf>
    <xf numFmtId="9" fontId="2" fillId="6" borderId="23" xfId="1" applyFont="1" applyFill="1" applyBorder="1" applyAlignment="1">
      <alignment horizontal="center" vertical="center" wrapText="1"/>
    </xf>
    <xf numFmtId="9" fontId="2" fillId="6" borderId="5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9" fontId="2" fillId="0" borderId="17" xfId="2" applyNumberFormat="1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 wrapText="1"/>
    </xf>
    <xf numFmtId="0" fontId="2" fillId="6" borderId="17" xfId="2" applyFont="1" applyFill="1" applyBorder="1" applyAlignment="1">
      <alignment horizontal="center" vertical="center" wrapText="1"/>
    </xf>
    <xf numFmtId="0" fontId="2" fillId="6" borderId="21" xfId="2" applyFont="1" applyFill="1" applyBorder="1" applyAlignment="1">
      <alignment horizontal="center" vertical="center" wrapText="1"/>
    </xf>
    <xf numFmtId="0" fontId="2" fillId="6" borderId="16" xfId="2" applyFont="1" applyFill="1" applyBorder="1" applyAlignment="1">
      <alignment horizontal="center" vertical="center" wrapText="1"/>
    </xf>
    <xf numFmtId="0" fontId="2" fillId="6" borderId="13" xfId="2" applyFont="1" applyFill="1" applyBorder="1" applyAlignment="1">
      <alignment horizontal="center" vertical="center" wrapText="1"/>
    </xf>
    <xf numFmtId="0" fontId="2" fillId="6" borderId="7" xfId="2" applyFont="1" applyFill="1" applyBorder="1" applyAlignment="1">
      <alignment horizontal="center" vertical="center" wrapText="1"/>
    </xf>
    <xf numFmtId="0" fontId="2" fillId="6" borderId="8" xfId="2" applyFont="1" applyFill="1" applyBorder="1" applyAlignment="1">
      <alignment horizontal="center" vertical="center" wrapText="1"/>
    </xf>
    <xf numFmtId="9" fontId="2" fillId="5" borderId="12" xfId="2" applyNumberFormat="1" applyFont="1" applyFill="1" applyBorder="1" applyAlignment="1">
      <alignment horizontal="center" vertical="center" wrapText="1"/>
    </xf>
    <xf numFmtId="9" fontId="0" fillId="0" borderId="12" xfId="0" applyNumberFormat="1" applyBorder="1"/>
    <xf numFmtId="0" fontId="2" fillId="0" borderId="22" xfId="2" applyFont="1" applyBorder="1" applyAlignment="1">
      <alignment horizontal="center" vertical="center" wrapText="1"/>
    </xf>
    <xf numFmtId="0" fontId="2" fillId="0" borderId="23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6" borderId="22" xfId="2" applyFont="1" applyFill="1" applyBorder="1" applyAlignment="1">
      <alignment horizontal="center" vertical="center" wrapText="1"/>
    </xf>
    <xf numFmtId="0" fontId="2" fillId="6" borderId="23" xfId="2" applyFont="1" applyFill="1" applyBorder="1" applyAlignment="1">
      <alignment horizontal="center" vertical="center" wrapText="1"/>
    </xf>
    <xf numFmtId="0" fontId="2" fillId="6" borderId="5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1" fontId="2" fillId="0" borderId="14" xfId="3" applyNumberFormat="1" applyFont="1" applyFill="1" applyBorder="1" applyAlignment="1">
      <alignment horizontal="center" vertical="center"/>
    </xf>
    <xf numFmtId="1" fontId="2" fillId="0" borderId="6" xfId="3" applyNumberFormat="1" applyFont="1" applyFill="1" applyBorder="1" applyAlignment="1">
      <alignment horizontal="center" vertical="center"/>
    </xf>
    <xf numFmtId="0" fontId="2" fillId="6" borderId="12" xfId="2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6" borderId="12" xfId="2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67" fontId="2" fillId="5" borderId="12" xfId="2" applyNumberFormat="1" applyFont="1" applyFill="1" applyBorder="1" applyAlignment="1">
      <alignment horizontal="center" vertical="center" wrapText="1"/>
    </xf>
    <xf numFmtId="0" fontId="2" fillId="0" borderId="12" xfId="7" applyFont="1" applyBorder="1" applyAlignment="1">
      <alignment horizontal="left" vertical="top" wrapText="1"/>
    </xf>
    <xf numFmtId="0" fontId="5" fillId="0" borderId="12" xfId="2" applyFont="1" applyBorder="1" applyAlignment="1">
      <alignment horizontal="left" vertical="top" wrapText="1"/>
    </xf>
    <xf numFmtId="1" fontId="2" fillId="0" borderId="12" xfId="3" applyNumberFormat="1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9" fontId="5" fillId="0" borderId="22" xfId="1" applyFont="1" applyFill="1" applyBorder="1" applyAlignment="1">
      <alignment horizontal="center" vertical="center" wrapText="1"/>
    </xf>
    <xf numFmtId="9" fontId="5" fillId="0" borderId="23" xfId="1" applyFont="1" applyFill="1" applyBorder="1" applyAlignment="1">
      <alignment horizontal="center" vertical="center" wrapText="1"/>
    </xf>
    <xf numFmtId="9" fontId="5" fillId="0" borderId="5" xfId="1" applyFont="1" applyFill="1" applyBorder="1" applyAlignment="1">
      <alignment horizontal="center" vertical="center" wrapText="1"/>
    </xf>
    <xf numFmtId="0" fontId="5" fillId="6" borderId="22" xfId="2" applyFont="1" applyFill="1" applyBorder="1" applyAlignment="1">
      <alignment horizontal="center" vertical="center" wrapText="1"/>
    </xf>
    <xf numFmtId="0" fontId="5" fillId="6" borderId="23" xfId="2" applyFont="1" applyFill="1" applyBorder="1" applyAlignment="1">
      <alignment horizontal="center" vertical="center" wrapText="1"/>
    </xf>
    <xf numFmtId="0" fontId="5" fillId="6" borderId="5" xfId="2" applyFont="1" applyFill="1" applyBorder="1" applyAlignment="1">
      <alignment horizontal="center" vertical="center" wrapText="1"/>
    </xf>
    <xf numFmtId="167" fontId="5" fillId="0" borderId="12" xfId="1" applyNumberFormat="1" applyFont="1" applyFill="1" applyBorder="1" applyAlignment="1">
      <alignment horizontal="center" vertical="center" wrapText="1"/>
    </xf>
    <xf numFmtId="168" fontId="2" fillId="0" borderId="12" xfId="3" applyNumberFormat="1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left" vertical="top" wrapText="1"/>
    </xf>
    <xf numFmtId="172" fontId="2" fillId="0" borderId="12" xfId="2" applyNumberFormat="1" applyFont="1" applyFill="1" applyBorder="1" applyAlignment="1">
      <alignment horizontal="center" vertical="center"/>
    </xf>
    <xf numFmtId="0" fontId="10" fillId="3" borderId="12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 wrapText="1"/>
    </xf>
    <xf numFmtId="0" fontId="5" fillId="0" borderId="14" xfId="2" applyFont="1" applyBorder="1" applyAlignment="1">
      <alignment horizontal="left" vertical="top" wrapText="1"/>
    </xf>
    <xf numFmtId="0" fontId="5" fillId="0" borderId="6" xfId="2" applyFont="1" applyBorder="1" applyAlignment="1">
      <alignment horizontal="left" vertical="top" wrapText="1"/>
    </xf>
    <xf numFmtId="9" fontId="2" fillId="0" borderId="12" xfId="1" applyFont="1" applyFill="1" applyBorder="1" applyAlignment="1">
      <alignment horizontal="center" vertical="center" wrapText="1"/>
    </xf>
    <xf numFmtId="10" fontId="5" fillId="0" borderId="14" xfId="0" applyNumberFormat="1" applyFont="1" applyBorder="1" applyAlignment="1">
      <alignment horizontal="center" vertical="center" wrapText="1"/>
    </xf>
    <xf numFmtId="167" fontId="2" fillId="0" borderId="12" xfId="2" applyNumberFormat="1" applyFont="1" applyFill="1" applyBorder="1" applyAlignment="1">
      <alignment horizontal="center" vertical="center" wrapText="1"/>
    </xf>
    <xf numFmtId="42" fontId="5" fillId="0" borderId="12" xfId="24" applyFont="1" applyBorder="1" applyAlignment="1">
      <alignment horizontal="center" vertical="center" wrapText="1"/>
    </xf>
    <xf numFmtId="3" fontId="5" fillId="0" borderId="12" xfId="7" applyNumberFormat="1" applyFont="1" applyBorder="1" applyAlignment="1">
      <alignment horizontal="center" vertical="center" wrapText="1"/>
    </xf>
    <xf numFmtId="4" fontId="5" fillId="0" borderId="12" xfId="7" applyNumberFormat="1" applyFont="1" applyBorder="1" applyAlignment="1">
      <alignment horizontal="center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9" fontId="2" fillId="5" borderId="12" xfId="1" applyFont="1" applyFill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169" fontId="2" fillId="0" borderId="14" xfId="2" applyNumberFormat="1" applyFont="1" applyFill="1" applyBorder="1" applyAlignment="1">
      <alignment horizontal="center" vertical="center"/>
    </xf>
    <xf numFmtId="169" fontId="2" fillId="0" borderId="6" xfId="2" applyNumberFormat="1" applyFont="1" applyFill="1" applyBorder="1" applyAlignment="1">
      <alignment horizontal="center" vertical="center"/>
    </xf>
    <xf numFmtId="9" fontId="2" fillId="5" borderId="12" xfId="1" applyNumberFormat="1" applyFont="1" applyFill="1" applyBorder="1" applyAlignment="1">
      <alignment horizontal="center" vertical="center" wrapText="1"/>
    </xf>
    <xf numFmtId="10" fontId="5" fillId="5" borderId="14" xfId="2" applyNumberFormat="1" applyFont="1" applyFill="1" applyBorder="1" applyAlignment="1">
      <alignment horizontal="center" vertical="center"/>
    </xf>
    <xf numFmtId="10" fontId="5" fillId="5" borderId="6" xfId="2" applyNumberFormat="1" applyFont="1" applyFill="1" applyBorder="1" applyAlignment="1">
      <alignment horizontal="center" vertical="center"/>
    </xf>
    <xf numFmtId="0" fontId="2" fillId="0" borderId="22" xfId="2" applyFont="1" applyBorder="1" applyAlignment="1">
      <alignment horizontal="center"/>
    </xf>
    <xf numFmtId="0" fontId="2" fillId="0" borderId="23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14" xfId="2" applyFont="1" applyFill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9" fontId="2" fillId="5" borderId="14" xfId="1" applyFont="1" applyFill="1" applyBorder="1" applyAlignment="1">
      <alignment horizontal="center" vertical="center" wrapText="1"/>
    </xf>
    <xf numFmtId="9" fontId="2" fillId="5" borderId="6" xfId="1" applyFont="1" applyFill="1" applyBorder="1" applyAlignment="1">
      <alignment horizontal="center" vertical="center" wrapText="1"/>
    </xf>
    <xf numFmtId="171" fontId="5" fillId="0" borderId="14" xfId="9" applyNumberFormat="1" applyFont="1" applyBorder="1" applyAlignment="1">
      <alignment horizontal="center" vertical="center"/>
    </xf>
    <xf numFmtId="171" fontId="5" fillId="0" borderId="6" xfId="9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9" fontId="2" fillId="0" borderId="12" xfId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right"/>
    </xf>
    <xf numFmtId="0" fontId="3" fillId="0" borderId="14" xfId="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9" fontId="5" fillId="0" borderId="14" xfId="1" applyFont="1" applyFill="1" applyBorder="1" applyAlignment="1">
      <alignment horizontal="center" vertical="center" wrapText="1"/>
    </xf>
    <xf numFmtId="9" fontId="5" fillId="0" borderId="6" xfId="1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left" vertical="center" wrapText="1"/>
    </xf>
    <xf numFmtId="167" fontId="2" fillId="5" borderId="12" xfId="1" applyNumberFormat="1" applyFont="1" applyFill="1" applyBorder="1" applyAlignment="1">
      <alignment horizontal="center" vertical="center" wrapText="1"/>
    </xf>
    <xf numFmtId="9" fontId="5" fillId="0" borderId="12" xfId="2" applyNumberFormat="1" applyFont="1" applyFill="1" applyBorder="1" applyAlignment="1">
      <alignment horizontal="center" vertical="center" wrapText="1"/>
    </xf>
    <xf numFmtId="9" fontId="2" fillId="0" borderId="12" xfId="2" applyNumberFormat="1" applyFont="1" applyFill="1" applyBorder="1" applyAlignment="1">
      <alignment horizontal="center" vertical="center" wrapText="1"/>
    </xf>
    <xf numFmtId="9" fontId="2" fillId="0" borderId="12" xfId="1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wrapText="1"/>
    </xf>
    <xf numFmtId="0" fontId="3" fillId="3" borderId="12" xfId="2" applyFont="1" applyFill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3" fillId="0" borderId="12" xfId="2" applyFont="1" applyBorder="1" applyAlignment="1">
      <alignment horizontal="right"/>
    </xf>
    <xf numFmtId="0" fontId="2" fillId="0" borderId="12" xfId="2" applyFont="1" applyFill="1" applyBorder="1" applyAlignment="1">
      <alignment horizontal="left" vertical="center" wrapText="1"/>
    </xf>
    <xf numFmtId="171" fontId="2" fillId="0" borderId="12" xfId="9" applyNumberFormat="1" applyFont="1" applyFill="1" applyBorder="1" applyAlignment="1">
      <alignment horizontal="center" vertical="center"/>
    </xf>
    <xf numFmtId="171" fontId="0" fillId="0" borderId="12" xfId="9" applyNumberFormat="1" applyFont="1" applyBorder="1"/>
    <xf numFmtId="10" fontId="5" fillId="0" borderId="8" xfId="1" applyNumberFormat="1" applyFont="1" applyFill="1" applyBorder="1" applyAlignment="1">
      <alignment horizontal="center" vertical="center" wrapText="1"/>
    </xf>
    <xf numFmtId="10" fontId="5" fillId="0" borderId="6" xfId="1" applyNumberFormat="1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center" vertical="center" wrapText="1"/>
    </xf>
    <xf numFmtId="2" fontId="2" fillId="0" borderId="12" xfId="9" applyNumberFormat="1" applyFont="1" applyFill="1" applyBorder="1" applyAlignment="1">
      <alignment horizontal="center" vertical="center"/>
    </xf>
    <xf numFmtId="2" fontId="0" fillId="0" borderId="12" xfId="9" applyNumberFormat="1" applyFont="1" applyBorder="1"/>
    <xf numFmtId="10" fontId="5" fillId="0" borderId="5" xfId="1" applyNumberFormat="1" applyFont="1" applyFill="1" applyBorder="1" applyAlignment="1">
      <alignment horizontal="center" vertical="center" wrapText="1"/>
    </xf>
    <xf numFmtId="10" fontId="5" fillId="0" borderId="12" xfId="1" applyNumberFormat="1" applyFont="1" applyFill="1" applyBorder="1" applyAlignment="1">
      <alignment horizontal="center" vertical="center" wrapText="1"/>
    </xf>
    <xf numFmtId="171" fontId="2" fillId="0" borderId="6" xfId="9" applyNumberFormat="1" applyFont="1" applyFill="1" applyBorder="1" applyAlignment="1">
      <alignment horizontal="center" vertical="center"/>
    </xf>
    <xf numFmtId="10" fontId="5" fillId="0" borderId="22" xfId="1" applyNumberFormat="1" applyFont="1" applyFill="1" applyBorder="1" applyAlignment="1">
      <alignment horizontal="center" vertical="center" wrapText="1"/>
    </xf>
    <xf numFmtId="10" fontId="5" fillId="0" borderId="23" xfId="1" applyNumberFormat="1" applyFont="1" applyFill="1" applyBorder="1" applyAlignment="1">
      <alignment horizontal="center" vertical="center" wrapText="1"/>
    </xf>
    <xf numFmtId="9" fontId="5" fillId="0" borderId="12" xfId="1" applyNumberFormat="1" applyFont="1" applyFill="1" applyBorder="1" applyAlignment="1">
      <alignment horizontal="center" vertical="center" wrapText="1"/>
    </xf>
    <xf numFmtId="9" fontId="2" fillId="0" borderId="17" xfId="1" applyFont="1" applyBorder="1" applyAlignment="1">
      <alignment horizontal="center" vertical="center" wrapText="1"/>
    </xf>
    <xf numFmtId="9" fontId="2" fillId="0" borderId="21" xfId="1" applyFont="1" applyBorder="1" applyAlignment="1">
      <alignment horizontal="center" vertical="center" wrapText="1"/>
    </xf>
    <xf numFmtId="9" fontId="2" fillId="0" borderId="16" xfId="1" applyFont="1" applyBorder="1" applyAlignment="1">
      <alignment horizontal="center" vertical="center" wrapText="1"/>
    </xf>
    <xf numFmtId="9" fontId="2" fillId="0" borderId="13" xfId="1" applyFont="1" applyBorder="1" applyAlignment="1">
      <alignment horizontal="center" vertical="center" wrapText="1"/>
    </xf>
    <xf numFmtId="9" fontId="2" fillId="0" borderId="7" xfId="1" applyFont="1" applyBorder="1" applyAlignment="1">
      <alignment horizontal="center" vertical="center" wrapText="1"/>
    </xf>
    <xf numFmtId="9" fontId="2" fillId="0" borderId="8" xfId="1" applyFont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right" vertical="center" wrapText="1"/>
    </xf>
    <xf numFmtId="0" fontId="2" fillId="0" borderId="14" xfId="2" applyFont="1" applyBorder="1" applyAlignment="1">
      <alignment horizontal="center" vertical="top" wrapText="1"/>
    </xf>
    <xf numFmtId="0" fontId="2" fillId="0" borderId="6" xfId="2" applyFont="1" applyBorder="1" applyAlignment="1">
      <alignment horizontal="center" vertical="top" wrapText="1"/>
    </xf>
    <xf numFmtId="9" fontId="2" fillId="0" borderId="22" xfId="1" applyFont="1" applyFill="1" applyBorder="1" applyAlignment="1">
      <alignment horizontal="center" vertical="center" wrapText="1"/>
    </xf>
    <xf numFmtId="9" fontId="2" fillId="0" borderId="23" xfId="1" applyFont="1" applyFill="1" applyBorder="1" applyAlignment="1">
      <alignment horizontal="center" vertical="center" wrapText="1"/>
    </xf>
    <xf numFmtId="9" fontId="2" fillId="0" borderId="5" xfId="1" applyFont="1" applyFill="1" applyBorder="1" applyAlignment="1">
      <alignment horizontal="center" vertical="center" wrapText="1"/>
    </xf>
    <xf numFmtId="10" fontId="2" fillId="0" borderId="12" xfId="2" applyNumberFormat="1" applyFont="1" applyFill="1" applyBorder="1" applyAlignment="1">
      <alignment horizontal="center" vertical="center" wrapText="1"/>
    </xf>
    <xf numFmtId="10" fontId="2" fillId="5" borderId="10" xfId="1" applyNumberFormat="1" applyFont="1" applyFill="1" applyBorder="1" applyAlignment="1">
      <alignment horizontal="center" vertical="center" wrapText="1"/>
    </xf>
    <xf numFmtId="9" fontId="2" fillId="0" borderId="14" xfId="1" applyFont="1" applyFill="1" applyBorder="1" applyAlignment="1">
      <alignment horizontal="center" vertical="center"/>
    </xf>
    <xf numFmtId="9" fontId="2" fillId="0" borderId="6" xfId="1" applyFont="1" applyFill="1" applyBorder="1" applyAlignment="1">
      <alignment horizontal="center" vertical="center"/>
    </xf>
    <xf numFmtId="1" fontId="2" fillId="0" borderId="17" xfId="3" applyNumberFormat="1" applyFont="1" applyFill="1" applyBorder="1" applyAlignment="1">
      <alignment horizontal="center" vertical="center" wrapText="1"/>
    </xf>
    <xf numFmtId="1" fontId="2" fillId="0" borderId="21" xfId="3" applyNumberFormat="1" applyFont="1" applyFill="1" applyBorder="1" applyAlignment="1">
      <alignment horizontal="center" vertical="center" wrapText="1"/>
    </xf>
    <xf numFmtId="1" fontId="2" fillId="0" borderId="16" xfId="3" applyNumberFormat="1" applyFont="1" applyFill="1" applyBorder="1" applyAlignment="1">
      <alignment horizontal="center" vertical="center" wrapText="1"/>
    </xf>
    <xf numFmtId="1" fontId="2" fillId="0" borderId="13" xfId="3" applyNumberFormat="1" applyFont="1" applyFill="1" applyBorder="1" applyAlignment="1">
      <alignment horizontal="center" vertical="center" wrapText="1"/>
    </xf>
    <xf numFmtId="1" fontId="2" fillId="0" borderId="7" xfId="3" applyNumberFormat="1" applyFont="1" applyFill="1" applyBorder="1" applyAlignment="1">
      <alignment horizontal="center" vertical="center" wrapText="1"/>
    </xf>
    <xf numFmtId="1" fontId="2" fillId="0" borderId="8" xfId="3" applyNumberFormat="1" applyFont="1" applyFill="1" applyBorder="1" applyAlignment="1">
      <alignment horizontal="center" vertical="center" wrapText="1"/>
    </xf>
    <xf numFmtId="0" fontId="2" fillId="0" borderId="14" xfId="2" applyNumberFormat="1" applyFont="1" applyBorder="1" applyAlignment="1">
      <alignment horizontal="left" vertical="top" wrapText="1"/>
    </xf>
    <xf numFmtId="0" fontId="2" fillId="0" borderId="6" xfId="2" applyNumberFormat="1" applyFont="1" applyBorder="1" applyAlignment="1">
      <alignment horizontal="left" vertical="top" wrapText="1"/>
    </xf>
    <xf numFmtId="173" fontId="2" fillId="0" borderId="22" xfId="2" applyNumberFormat="1" applyFont="1" applyFill="1" applyBorder="1" applyAlignment="1">
      <alignment horizontal="center" vertical="center" wrapText="1"/>
    </xf>
    <xf numFmtId="173" fontId="2" fillId="0" borderId="23" xfId="2" applyNumberFormat="1" applyFont="1" applyFill="1" applyBorder="1" applyAlignment="1">
      <alignment horizontal="center" vertical="center" wrapText="1"/>
    </xf>
    <xf numFmtId="173" fontId="2" fillId="0" borderId="5" xfId="2" applyNumberFormat="1" applyFont="1" applyFill="1" applyBorder="1" applyAlignment="1">
      <alignment horizontal="center" vertical="center" wrapText="1"/>
    </xf>
    <xf numFmtId="173" fontId="2" fillId="0" borderId="17" xfId="2" applyNumberFormat="1" applyFont="1" applyFill="1" applyBorder="1" applyAlignment="1">
      <alignment horizontal="center" vertical="center" wrapText="1"/>
    </xf>
    <xf numFmtId="173" fontId="2" fillId="0" borderId="21" xfId="2" applyNumberFormat="1" applyFont="1" applyFill="1" applyBorder="1" applyAlignment="1">
      <alignment horizontal="center" vertical="center" wrapText="1"/>
    </xf>
    <xf numFmtId="173" fontId="2" fillId="0" borderId="16" xfId="2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3" fontId="5" fillId="0" borderId="22" xfId="0" applyNumberFormat="1" applyFont="1" applyFill="1" applyBorder="1" applyAlignment="1">
      <alignment horizontal="center" vertical="center"/>
    </xf>
    <xf numFmtId="3" fontId="5" fillId="0" borderId="2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2" fillId="0" borderId="22" xfId="2" applyNumberFormat="1" applyFont="1" applyFill="1" applyBorder="1" applyAlignment="1">
      <alignment horizontal="center" vertical="center" wrapText="1"/>
    </xf>
    <xf numFmtId="0" fontId="2" fillId="0" borderId="23" xfId="2" applyFont="1" applyFill="1" applyBorder="1" applyAlignment="1">
      <alignment horizontal="center" vertical="center" wrapText="1"/>
    </xf>
    <xf numFmtId="173" fontId="2" fillId="0" borderId="13" xfId="2" applyNumberFormat="1" applyFont="1" applyFill="1" applyBorder="1" applyAlignment="1">
      <alignment horizontal="center" vertical="center" wrapText="1"/>
    </xf>
    <xf numFmtId="173" fontId="2" fillId="0" borderId="7" xfId="2" applyNumberFormat="1" applyFont="1" applyFill="1" applyBorder="1" applyAlignment="1">
      <alignment horizontal="center" vertical="center" wrapText="1"/>
    </xf>
    <xf numFmtId="173" fontId="2" fillId="0" borderId="8" xfId="2" applyNumberFormat="1" applyFont="1" applyFill="1" applyBorder="1" applyAlignment="1">
      <alignment horizontal="center" vertical="center" wrapText="1"/>
    </xf>
    <xf numFmtId="3" fontId="2" fillId="0" borderId="17" xfId="2" applyNumberFormat="1" applyFont="1" applyFill="1" applyBorder="1" applyAlignment="1">
      <alignment horizontal="center" vertical="center" wrapText="1"/>
    </xf>
    <xf numFmtId="3" fontId="2" fillId="0" borderId="21" xfId="2" applyNumberFormat="1" applyFont="1" applyFill="1" applyBorder="1" applyAlignment="1">
      <alignment horizontal="center" vertical="center" wrapText="1"/>
    </xf>
    <xf numFmtId="3" fontId="2" fillId="0" borderId="16" xfId="2" applyNumberFormat="1" applyFont="1" applyFill="1" applyBorder="1" applyAlignment="1">
      <alignment horizontal="center" vertical="center" wrapText="1"/>
    </xf>
    <xf numFmtId="3" fontId="2" fillId="0" borderId="13" xfId="2" applyNumberFormat="1" applyFont="1" applyFill="1" applyBorder="1" applyAlignment="1">
      <alignment horizontal="center" vertical="center" wrapText="1"/>
    </xf>
    <xf numFmtId="3" fontId="2" fillId="0" borderId="7" xfId="2" applyNumberFormat="1" applyFont="1" applyFill="1" applyBorder="1" applyAlignment="1">
      <alignment horizontal="center" vertical="center" wrapText="1"/>
    </xf>
    <xf numFmtId="3" fontId="2" fillId="0" borderId="8" xfId="2" applyNumberFormat="1" applyFont="1" applyFill="1" applyBorder="1" applyAlignment="1">
      <alignment horizontal="center" vertical="center" wrapText="1"/>
    </xf>
    <xf numFmtId="0" fontId="3" fillId="5" borderId="22" xfId="2" applyFont="1" applyFill="1" applyBorder="1" applyAlignment="1">
      <alignment horizontal="left" vertical="top" wrapText="1"/>
    </xf>
    <xf numFmtId="0" fontId="3" fillId="5" borderId="23" xfId="2" applyFont="1" applyFill="1" applyBorder="1" applyAlignment="1">
      <alignment horizontal="left" vertical="top" wrapText="1"/>
    </xf>
    <xf numFmtId="0" fontId="3" fillId="5" borderId="5" xfId="2" applyFont="1" applyFill="1" applyBorder="1" applyAlignment="1">
      <alignment horizontal="left" vertical="top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3" fontId="2" fillId="0" borderId="23" xfId="2" applyNumberFormat="1" applyFont="1" applyFill="1" applyBorder="1" applyAlignment="1">
      <alignment horizontal="center" vertical="center" wrapText="1"/>
    </xf>
    <xf numFmtId="3" fontId="2" fillId="0" borderId="5" xfId="2" applyNumberFormat="1" applyFont="1" applyFill="1" applyBorder="1" applyAlignment="1">
      <alignment horizontal="center" vertical="center" wrapText="1"/>
    </xf>
    <xf numFmtId="168" fontId="5" fillId="0" borderId="14" xfId="3" applyNumberFormat="1" applyFont="1" applyBorder="1" applyAlignment="1">
      <alignment horizontal="center" vertical="center"/>
    </xf>
    <xf numFmtId="168" fontId="5" fillId="0" borderId="6" xfId="3" applyNumberFormat="1" applyFont="1" applyBorder="1" applyAlignment="1">
      <alignment horizontal="center" vertical="center"/>
    </xf>
    <xf numFmtId="10" fontId="5" fillId="0" borderId="12" xfId="1" applyNumberFormat="1" applyFont="1" applyBorder="1"/>
    <xf numFmtId="0" fontId="2" fillId="0" borderId="2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6" borderId="14" xfId="2" applyFont="1" applyFill="1" applyBorder="1" applyAlignment="1">
      <alignment horizontal="left" vertical="top" wrapText="1"/>
    </xf>
    <xf numFmtId="0" fontId="2" fillId="6" borderId="6" xfId="2" applyFont="1" applyFill="1" applyBorder="1" applyAlignment="1">
      <alignment horizontal="left" vertical="top" wrapText="1"/>
    </xf>
    <xf numFmtId="0" fontId="2" fillId="5" borderId="12" xfId="2" applyFont="1" applyFill="1" applyBorder="1" applyAlignment="1">
      <alignment horizontal="center" vertical="center" wrapText="1"/>
    </xf>
    <xf numFmtId="3" fontId="2" fillId="0" borderId="22" xfId="3" applyNumberFormat="1" applyFont="1" applyFill="1" applyBorder="1" applyAlignment="1">
      <alignment horizontal="center" vertical="center" wrapText="1"/>
    </xf>
    <xf numFmtId="3" fontId="2" fillId="0" borderId="23" xfId="3" applyNumberFormat="1" applyFont="1" applyFill="1" applyBorder="1" applyAlignment="1">
      <alignment horizontal="center" vertical="center" wrapText="1"/>
    </xf>
    <xf numFmtId="3" fontId="2" fillId="0" borderId="5" xfId="3" applyNumberFormat="1" applyFont="1" applyFill="1" applyBorder="1" applyAlignment="1">
      <alignment horizontal="center" vertical="center" wrapText="1"/>
    </xf>
    <xf numFmtId="3" fontId="2" fillId="0" borderId="17" xfId="3" applyNumberFormat="1" applyFont="1" applyFill="1" applyBorder="1" applyAlignment="1">
      <alignment horizontal="center" vertical="center" wrapText="1"/>
    </xf>
    <xf numFmtId="3" fontId="2" fillId="0" borderId="21" xfId="3" applyNumberFormat="1" applyFont="1" applyFill="1" applyBorder="1" applyAlignment="1">
      <alignment horizontal="center" vertical="center" wrapText="1"/>
    </xf>
    <xf numFmtId="3" fontId="2" fillId="0" borderId="16" xfId="3" applyNumberFormat="1" applyFont="1" applyFill="1" applyBorder="1" applyAlignment="1">
      <alignment horizontal="center" vertical="center" wrapText="1"/>
    </xf>
    <xf numFmtId="3" fontId="2" fillId="0" borderId="13" xfId="3" applyNumberFormat="1" applyFont="1" applyFill="1" applyBorder="1" applyAlignment="1">
      <alignment horizontal="center" vertical="center" wrapText="1"/>
    </xf>
    <xf numFmtId="3" fontId="2" fillId="0" borderId="7" xfId="3" applyNumberFormat="1" applyFont="1" applyFill="1" applyBorder="1" applyAlignment="1">
      <alignment horizontal="center" vertical="center" wrapText="1"/>
    </xf>
    <xf numFmtId="3" fontId="2" fillId="0" borderId="8" xfId="3" applyNumberFormat="1" applyFont="1" applyFill="1" applyBorder="1" applyAlignment="1">
      <alignment horizontal="center" vertical="center" wrapText="1"/>
    </xf>
    <xf numFmtId="0" fontId="3" fillId="5" borderId="22" xfId="2" applyFont="1" applyFill="1" applyBorder="1" applyAlignment="1">
      <alignment horizontal="left" vertical="center" wrapText="1"/>
    </xf>
    <xf numFmtId="0" fontId="3" fillId="5" borderId="23" xfId="2" applyFont="1" applyFill="1" applyBorder="1" applyAlignment="1">
      <alignment horizontal="left" vertical="center" wrapText="1"/>
    </xf>
    <xf numFmtId="0" fontId="3" fillId="5" borderId="5" xfId="2" applyFont="1" applyFill="1" applyBorder="1" applyAlignment="1">
      <alignment horizontal="left" vertical="center" wrapText="1"/>
    </xf>
    <xf numFmtId="1" fontId="0" fillId="0" borderId="12" xfId="0" applyNumberFormat="1" applyBorder="1" applyAlignment="1">
      <alignment horizontal="center"/>
    </xf>
    <xf numFmtId="10" fontId="1" fillId="0" borderId="12" xfId="1" applyNumberFormat="1" applyFont="1" applyBorder="1"/>
    <xf numFmtId="42" fontId="2" fillId="0" borderId="22" xfId="24" applyFont="1" applyFill="1" applyBorder="1" applyAlignment="1">
      <alignment horizontal="center" vertical="center" wrapText="1"/>
    </xf>
    <xf numFmtId="42" fontId="2" fillId="0" borderId="23" xfId="24" applyFont="1" applyFill="1" applyBorder="1" applyAlignment="1">
      <alignment horizontal="center" vertical="center" wrapText="1"/>
    </xf>
    <xf numFmtId="42" fontId="2" fillId="0" borderId="5" xfId="24" applyFont="1" applyFill="1" applyBorder="1" applyAlignment="1">
      <alignment horizontal="center" vertical="center" wrapText="1"/>
    </xf>
    <xf numFmtId="0" fontId="3" fillId="5" borderId="12" xfId="2" applyFont="1" applyFill="1" applyBorder="1" applyAlignment="1">
      <alignment horizontal="left" vertical="top" wrapText="1"/>
    </xf>
    <xf numFmtId="0" fontId="3" fillId="0" borderId="12" xfId="2" applyFont="1" applyBorder="1" applyAlignment="1">
      <alignment horizontal="center" vertical="top" wrapText="1"/>
    </xf>
  </cellXfs>
  <cellStyles count="25"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Millares" xfId="3" builtinId="3"/>
    <cellStyle name="Millares [0] 2" xfId="6"/>
    <cellStyle name="Moneda" xfId="9" builtinId="4"/>
    <cellStyle name="Moneda [0]" xfId="24" builtinId="7"/>
    <cellStyle name="Moneda 2" xfId="10"/>
    <cellStyle name="Moneda 2 2" xfId="11"/>
    <cellStyle name="Normal" xfId="0" builtinId="0"/>
    <cellStyle name="Normal 2" xfId="2"/>
    <cellStyle name="Normal 2 2" xfId="7"/>
    <cellStyle name="Normal 3" xfId="4"/>
    <cellStyle name="Normal 3 2" xfId="8"/>
    <cellStyle name="Porcentaje" xfId="1" builtinId="5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1277303</xdr:colOff>
      <xdr:row>0</xdr:row>
      <xdr:rowOff>131584</xdr:rowOff>
    </xdr:from>
    <xdr:to>
      <xdr:col>1</xdr:col>
      <xdr:colOff>1266266</xdr:colOff>
      <xdr:row>2</xdr:row>
      <xdr:rowOff>112059</xdr:rowOff>
    </xdr:to>
    <xdr:pic>
      <xdr:nvPicPr>
        <xdr:cNvPr id="3" name="2 Imagen" descr="telemedelli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303" y="131584"/>
          <a:ext cx="2017228" cy="6080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38100</xdr:rowOff>
    </xdr:from>
    <xdr:to>
      <xdr:col>2</xdr:col>
      <xdr:colOff>333375</xdr:colOff>
      <xdr:row>2</xdr:row>
      <xdr:rowOff>76200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" y="38100"/>
          <a:ext cx="21336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986518</xdr:colOff>
      <xdr:row>0</xdr:row>
      <xdr:rowOff>90715</xdr:rowOff>
    </xdr:from>
    <xdr:to>
      <xdr:col>2</xdr:col>
      <xdr:colOff>340179</xdr:colOff>
      <xdr:row>2</xdr:row>
      <xdr:rowOff>133654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518" y="90715"/>
          <a:ext cx="2134961" cy="3858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986518</xdr:colOff>
      <xdr:row>0</xdr:row>
      <xdr:rowOff>90715</xdr:rowOff>
    </xdr:from>
    <xdr:to>
      <xdr:col>2</xdr:col>
      <xdr:colOff>340179</xdr:colOff>
      <xdr:row>2</xdr:row>
      <xdr:rowOff>133654</xdr:rowOff>
    </xdr:to>
    <xdr:pic>
      <xdr:nvPicPr>
        <xdr:cNvPr id="3" name="2 Imagen" descr="telemedelli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518" y="90715"/>
          <a:ext cx="2134961" cy="3858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1098177</xdr:colOff>
      <xdr:row>0</xdr:row>
      <xdr:rowOff>22412</xdr:rowOff>
    </xdr:from>
    <xdr:to>
      <xdr:col>1</xdr:col>
      <xdr:colOff>1602442</xdr:colOff>
      <xdr:row>2</xdr:row>
      <xdr:rowOff>123265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177" y="190500"/>
          <a:ext cx="2050677" cy="5378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38100</xdr:rowOff>
    </xdr:from>
    <xdr:to>
      <xdr:col>1</xdr:col>
      <xdr:colOff>1346906</xdr:colOff>
      <xdr:row>2</xdr:row>
      <xdr:rowOff>78318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8100"/>
          <a:ext cx="2147006" cy="3831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38100</xdr:rowOff>
    </xdr:from>
    <xdr:to>
      <xdr:col>2</xdr:col>
      <xdr:colOff>335548</xdr:colOff>
      <xdr:row>2</xdr:row>
      <xdr:rowOff>78318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8100"/>
          <a:ext cx="2135773" cy="3831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123265</xdr:rowOff>
    </xdr:from>
    <xdr:to>
      <xdr:col>2</xdr:col>
      <xdr:colOff>247649</xdr:colOff>
      <xdr:row>2</xdr:row>
      <xdr:rowOff>23596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287" y="123265"/>
          <a:ext cx="1977837" cy="3099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103255</xdr:colOff>
      <xdr:row>0</xdr:row>
      <xdr:rowOff>66436</xdr:rowOff>
    </xdr:from>
    <xdr:to>
      <xdr:col>1</xdr:col>
      <xdr:colOff>1475975</xdr:colOff>
      <xdr:row>1</xdr:row>
      <xdr:rowOff>164887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005" y="66436"/>
          <a:ext cx="1372720" cy="343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103255</xdr:colOff>
      <xdr:row>0</xdr:row>
      <xdr:rowOff>66436</xdr:rowOff>
    </xdr:from>
    <xdr:to>
      <xdr:col>1</xdr:col>
      <xdr:colOff>1475975</xdr:colOff>
      <xdr:row>1</xdr:row>
      <xdr:rowOff>164887</xdr:rowOff>
    </xdr:to>
    <xdr:pic>
      <xdr:nvPicPr>
        <xdr:cNvPr id="3" name="2 Imagen" descr="telemedelli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005" y="66436"/>
          <a:ext cx="1372720" cy="3365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38100</xdr:rowOff>
    </xdr:from>
    <xdr:to>
      <xdr:col>2</xdr:col>
      <xdr:colOff>335548</xdr:colOff>
      <xdr:row>2</xdr:row>
      <xdr:rowOff>78318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8100"/>
          <a:ext cx="2135773" cy="3831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959462</xdr:colOff>
      <xdr:row>1</xdr:row>
      <xdr:rowOff>20790</xdr:rowOff>
    </xdr:from>
    <xdr:to>
      <xdr:col>3</xdr:col>
      <xdr:colOff>108857</xdr:colOff>
      <xdr:row>3</xdr:row>
      <xdr:rowOff>149678</xdr:rowOff>
    </xdr:to>
    <xdr:pic>
      <xdr:nvPicPr>
        <xdr:cNvPr id="2" name="2 Imagen" descr="telemedelli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462" y="184076"/>
          <a:ext cx="2170181" cy="5098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1108983</xdr:colOff>
      <xdr:row>0</xdr:row>
      <xdr:rowOff>24493</xdr:rowOff>
    </xdr:from>
    <xdr:to>
      <xdr:col>2</xdr:col>
      <xdr:colOff>1</xdr:colOff>
      <xdr:row>2</xdr:row>
      <xdr:rowOff>64711</xdr:rowOff>
    </xdr:to>
    <xdr:pic>
      <xdr:nvPicPr>
        <xdr:cNvPr id="2" name="1 Imagen" descr="telemedelli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983" y="24493"/>
          <a:ext cx="1598839" cy="3940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D33"/>
  <sheetViews>
    <sheetView showGridLines="0" workbookViewId="0">
      <selection activeCell="D4" sqref="D4"/>
    </sheetView>
  </sheetViews>
  <sheetFormatPr baseColWidth="10" defaultColWidth="10.85546875" defaultRowHeight="15" x14ac:dyDescent="0.25"/>
  <cols>
    <col min="1" max="1" width="10.85546875" style="10"/>
    <col min="2" max="2" width="30.28515625" style="10" customWidth="1"/>
    <col min="3" max="3" width="25.140625" style="10" customWidth="1"/>
    <col min="4" max="4" width="23.140625" style="10" customWidth="1"/>
    <col min="5" max="16384" width="10.85546875" style="10"/>
  </cols>
  <sheetData>
    <row r="2" spans="2:4" ht="31.5" customHeight="1" x14ac:dyDescent="0.25">
      <c r="B2" s="286" t="s">
        <v>131</v>
      </c>
      <c r="C2" s="286"/>
      <c r="D2" s="286"/>
    </row>
    <row r="3" spans="2:4" x14ac:dyDescent="0.25">
      <c r="B3" s="9" t="s">
        <v>145</v>
      </c>
      <c r="C3" s="9" t="s">
        <v>133</v>
      </c>
      <c r="D3" s="9" t="s">
        <v>27</v>
      </c>
    </row>
    <row r="4" spans="2:4" ht="30" x14ac:dyDescent="0.25">
      <c r="B4" s="8" t="s">
        <v>132</v>
      </c>
      <c r="C4" s="8" t="s">
        <v>134</v>
      </c>
      <c r="D4" s="8" t="s">
        <v>376</v>
      </c>
    </row>
    <row r="5" spans="2:4" x14ac:dyDescent="0.25">
      <c r="B5" s="11"/>
      <c r="C5" s="11"/>
      <c r="D5" s="11"/>
    </row>
    <row r="6" spans="2:4" x14ac:dyDescent="0.25">
      <c r="B6" s="11"/>
      <c r="C6" s="11"/>
      <c r="D6" s="11"/>
    </row>
    <row r="7" spans="2:4" x14ac:dyDescent="0.25">
      <c r="B7" s="11"/>
      <c r="C7" s="11"/>
      <c r="D7" s="11"/>
    </row>
    <row r="8" spans="2:4" x14ac:dyDescent="0.25">
      <c r="B8" s="11"/>
      <c r="C8" s="11"/>
      <c r="D8" s="11"/>
    </row>
    <row r="9" spans="2:4" x14ac:dyDescent="0.25">
      <c r="B9" s="11"/>
      <c r="C9" s="11"/>
      <c r="D9" s="11"/>
    </row>
    <row r="10" spans="2:4" x14ac:dyDescent="0.25">
      <c r="B10" s="11"/>
      <c r="C10" s="11"/>
      <c r="D10" s="11"/>
    </row>
    <row r="11" spans="2:4" x14ac:dyDescent="0.25">
      <c r="B11" s="11"/>
      <c r="C11" s="11"/>
      <c r="D11" s="11"/>
    </row>
    <row r="12" spans="2:4" x14ac:dyDescent="0.25">
      <c r="B12" s="11"/>
      <c r="C12" s="11"/>
      <c r="D12" s="11"/>
    </row>
    <row r="13" spans="2:4" x14ac:dyDescent="0.25">
      <c r="B13" s="11"/>
      <c r="C13" s="11"/>
      <c r="D13" s="11"/>
    </row>
    <row r="14" spans="2:4" x14ac:dyDescent="0.25">
      <c r="B14" s="11"/>
      <c r="C14" s="11"/>
      <c r="D14" s="11"/>
    </row>
    <row r="15" spans="2:4" x14ac:dyDescent="0.25">
      <c r="B15" s="11"/>
      <c r="C15" s="11"/>
      <c r="D15" s="11"/>
    </row>
    <row r="16" spans="2:4" x14ac:dyDescent="0.25">
      <c r="B16" s="11"/>
      <c r="C16" s="11"/>
      <c r="D16" s="11"/>
    </row>
    <row r="17" spans="2:4" x14ac:dyDescent="0.25">
      <c r="B17" s="11"/>
      <c r="C17" s="11"/>
      <c r="D17" s="11"/>
    </row>
    <row r="18" spans="2:4" x14ac:dyDescent="0.25">
      <c r="B18" s="11"/>
      <c r="C18" s="11"/>
      <c r="D18" s="11"/>
    </row>
    <row r="19" spans="2:4" x14ac:dyDescent="0.25">
      <c r="B19" s="11"/>
      <c r="D19" s="11"/>
    </row>
    <row r="20" spans="2:4" x14ac:dyDescent="0.25">
      <c r="B20" s="11"/>
    </row>
    <row r="21" spans="2:4" x14ac:dyDescent="0.25">
      <c r="B21" s="11"/>
    </row>
    <row r="22" spans="2:4" x14ac:dyDescent="0.25">
      <c r="B22" s="11"/>
    </row>
    <row r="23" spans="2:4" x14ac:dyDescent="0.25">
      <c r="B23" s="11"/>
    </row>
    <row r="24" spans="2:4" x14ac:dyDescent="0.25">
      <c r="B24" s="11"/>
    </row>
    <row r="25" spans="2:4" x14ac:dyDescent="0.25">
      <c r="B25" s="11"/>
    </row>
    <row r="26" spans="2:4" x14ac:dyDescent="0.25">
      <c r="B26" s="11"/>
    </row>
    <row r="27" spans="2:4" x14ac:dyDescent="0.25">
      <c r="B27" s="11"/>
    </row>
    <row r="28" spans="2:4" x14ac:dyDescent="0.25">
      <c r="B28" s="11"/>
    </row>
    <row r="29" spans="2:4" x14ac:dyDescent="0.25">
      <c r="B29" s="11"/>
    </row>
    <row r="30" spans="2:4" x14ac:dyDescent="0.25">
      <c r="B30" s="11"/>
    </row>
    <row r="31" spans="2:4" x14ac:dyDescent="0.25">
      <c r="B31" s="11"/>
    </row>
    <row r="32" spans="2:4" x14ac:dyDescent="0.25">
      <c r="B32" s="11"/>
    </row>
    <row r="33" spans="2:2" x14ac:dyDescent="0.25">
      <c r="B33" s="11"/>
    </row>
  </sheetData>
  <mergeCells count="1">
    <mergeCell ref="B2:D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D62"/>
  <sheetViews>
    <sheetView showGridLines="0" topLeftCell="J1" zoomScale="70" zoomScaleNormal="70" zoomScalePageLayoutView="70" workbookViewId="0">
      <selection activeCell="W12" sqref="W12:W16"/>
    </sheetView>
  </sheetViews>
  <sheetFormatPr baseColWidth="10" defaultColWidth="0" defaultRowHeight="0" customHeight="1" zeroHeight="1" x14ac:dyDescent="0.2"/>
  <cols>
    <col min="1" max="1" width="11.42578125" style="13" hidden="1" customWidth="1"/>
    <col min="2" max="2" width="22.140625" style="13" customWidth="1"/>
    <col min="3" max="3" width="23" style="1" customWidth="1"/>
    <col min="4" max="4" width="10.5703125" style="1" customWidth="1"/>
    <col min="5" max="5" width="16.42578125" style="1" customWidth="1"/>
    <col min="6" max="6" width="20.7109375" style="1" customWidth="1"/>
    <col min="7" max="7" width="7.7109375" style="1" customWidth="1"/>
    <col min="8" max="8" width="18.7109375" style="1" customWidth="1"/>
    <col min="9" max="9" width="17.7109375" style="1" customWidth="1"/>
    <col min="10" max="10" width="40.7109375" style="1" customWidth="1"/>
    <col min="11" max="11" width="13.140625" style="1" customWidth="1"/>
    <col min="12" max="12" width="28" style="1" customWidth="1"/>
    <col min="13" max="13" width="14" style="1" customWidth="1"/>
    <col min="14" max="14" width="10.7109375" style="1" customWidth="1"/>
    <col min="15" max="15" width="10" style="1" customWidth="1"/>
    <col min="16" max="16" width="13.42578125" style="1" customWidth="1"/>
    <col min="17" max="17" width="13.5703125" style="1" customWidth="1"/>
    <col min="18" max="18" width="13.42578125" style="1" customWidth="1"/>
    <col min="19" max="19" width="14.140625" style="1" customWidth="1"/>
    <col min="20" max="20" width="15.140625" style="1" customWidth="1"/>
    <col min="21" max="21" width="14.42578125" style="1" customWidth="1"/>
    <col min="22" max="22" width="16.42578125" style="1" customWidth="1"/>
    <col min="23" max="23" width="34.5703125" style="13" customWidth="1"/>
    <col min="24" max="26" width="31.140625" style="13" customWidth="1"/>
    <col min="27" max="27" width="5.42578125" style="13" customWidth="1"/>
    <col min="28" max="30" width="0" style="13" hidden="1" customWidth="1"/>
    <col min="31" max="16384" width="11.42578125" style="13" hidden="1"/>
  </cols>
  <sheetData>
    <row r="1" spans="1:26" ht="12.75" x14ac:dyDescent="0.2">
      <c r="B1" s="421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3"/>
    </row>
    <row r="2" spans="1:26" ht="13.5" customHeight="1" x14ac:dyDescent="0.2">
      <c r="B2" s="290"/>
      <c r="C2" s="290"/>
      <c r="D2" s="290"/>
      <c r="E2" s="290"/>
      <c r="F2" s="313" t="s">
        <v>0</v>
      </c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5"/>
    </row>
    <row r="3" spans="1:26" ht="15.75" customHeight="1" x14ac:dyDescent="0.2">
      <c r="B3" s="290"/>
      <c r="C3" s="290"/>
      <c r="D3" s="290"/>
      <c r="E3" s="290"/>
      <c r="F3" s="316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8"/>
    </row>
    <row r="4" spans="1:26" ht="15.75" customHeight="1" x14ac:dyDescent="0.2">
      <c r="B4" s="290"/>
      <c r="C4" s="290"/>
      <c r="D4" s="290"/>
      <c r="E4" s="290"/>
      <c r="F4" s="319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1"/>
    </row>
    <row r="5" spans="1:26" ht="12.75" x14ac:dyDescent="0.2">
      <c r="B5" s="324" t="s">
        <v>42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</row>
    <row r="6" spans="1:26" ht="12.75" x14ac:dyDescent="0.2">
      <c r="B6" s="324" t="s">
        <v>120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</row>
    <row r="7" spans="1:26" ht="12.75" x14ac:dyDescent="0.2">
      <c r="B7" s="324" t="s">
        <v>441</v>
      </c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</row>
    <row r="8" spans="1:26" ht="15.75" customHeight="1" x14ac:dyDescent="0.2"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</row>
    <row r="9" spans="1:26" ht="15.75" customHeight="1" thickBot="1" x14ac:dyDescent="0.25">
      <c r="B9" s="322" t="s">
        <v>2</v>
      </c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05" t="s">
        <v>63</v>
      </c>
      <c r="Q9" s="305"/>
      <c r="R9" s="305"/>
      <c r="S9" s="305"/>
      <c r="T9" s="73"/>
      <c r="U9" s="73"/>
      <c r="V9" s="73"/>
      <c r="W9" s="308" t="s">
        <v>4</v>
      </c>
      <c r="X9" s="308"/>
      <c r="Y9" s="308"/>
      <c r="Z9" s="308"/>
    </row>
    <row r="10" spans="1:26" ht="15.75" customHeight="1" x14ac:dyDescent="0.2">
      <c r="A10" s="27"/>
      <c r="B10" s="305" t="s">
        <v>141</v>
      </c>
      <c r="C10" s="305" t="s">
        <v>397</v>
      </c>
      <c r="D10" s="307" t="s">
        <v>6</v>
      </c>
      <c r="E10" s="305" t="s">
        <v>7</v>
      </c>
      <c r="F10" s="305"/>
      <c r="G10" s="307" t="s">
        <v>6</v>
      </c>
      <c r="H10" s="305" t="s">
        <v>8</v>
      </c>
      <c r="I10" s="445" t="s">
        <v>47</v>
      </c>
      <c r="J10" s="445"/>
      <c r="K10" s="445"/>
      <c r="L10" s="445"/>
      <c r="M10" s="445"/>
      <c r="N10" s="445"/>
      <c r="O10" s="307" t="s">
        <v>6</v>
      </c>
      <c r="P10" s="291" t="s">
        <v>406</v>
      </c>
      <c r="Q10" s="291" t="s">
        <v>419</v>
      </c>
      <c r="R10" s="291" t="s">
        <v>420</v>
      </c>
      <c r="S10" s="291" t="s">
        <v>421</v>
      </c>
      <c r="T10" s="307" t="s">
        <v>10</v>
      </c>
      <c r="U10" s="307" t="s">
        <v>11</v>
      </c>
      <c r="V10" s="307" t="s">
        <v>12</v>
      </c>
      <c r="W10" s="291" t="s">
        <v>13</v>
      </c>
      <c r="X10" s="291" t="s">
        <v>14</v>
      </c>
      <c r="Y10" s="291" t="s">
        <v>15</v>
      </c>
      <c r="Z10" s="291" t="s">
        <v>16</v>
      </c>
    </row>
    <row r="11" spans="1:26" ht="42.75" customHeight="1" thickBot="1" x14ac:dyDescent="0.25">
      <c r="A11" s="28"/>
      <c r="B11" s="305"/>
      <c r="C11" s="305"/>
      <c r="D11" s="307"/>
      <c r="E11" s="305"/>
      <c r="F11" s="305"/>
      <c r="G11" s="307"/>
      <c r="H11" s="305"/>
      <c r="I11" s="73" t="s">
        <v>49</v>
      </c>
      <c r="J11" s="63" t="s">
        <v>48</v>
      </c>
      <c r="K11" s="63" t="s">
        <v>53</v>
      </c>
      <c r="L11" s="73" t="s">
        <v>37</v>
      </c>
      <c r="M11" s="63" t="s">
        <v>54</v>
      </c>
      <c r="N11" s="63" t="s">
        <v>58</v>
      </c>
      <c r="O11" s="307"/>
      <c r="P11" s="291"/>
      <c r="Q11" s="291"/>
      <c r="R11" s="291"/>
      <c r="S11" s="291"/>
      <c r="T11" s="307"/>
      <c r="U11" s="307"/>
      <c r="V11" s="307"/>
      <c r="W11" s="444"/>
      <c r="X11" s="291"/>
      <c r="Y11" s="444"/>
      <c r="Z11" s="444"/>
    </row>
    <row r="12" spans="1:26" ht="87" customHeight="1" x14ac:dyDescent="0.2">
      <c r="B12" s="413" t="str">
        <f>+'Plan de desarrollo'!B4</f>
        <v>DIMENSIÓN 1: Creemos en la cultura ciudadana</v>
      </c>
      <c r="C12" s="351" t="s">
        <v>24</v>
      </c>
      <c r="D12" s="336">
        <f>+SUM(G12:G16)</f>
        <v>2.6000000000000002E-2</v>
      </c>
      <c r="E12" s="449" t="s">
        <v>43</v>
      </c>
      <c r="F12" s="449"/>
      <c r="G12" s="297">
        <f>+SUM(O12:O14)</f>
        <v>1.6E-2</v>
      </c>
      <c r="H12" s="294" t="s">
        <v>44</v>
      </c>
      <c r="I12" s="69" t="s">
        <v>50</v>
      </c>
      <c r="J12" s="75" t="s">
        <v>98</v>
      </c>
      <c r="K12" s="75" t="s">
        <v>55</v>
      </c>
      <c r="L12" s="75" t="s">
        <v>97</v>
      </c>
      <c r="M12" s="446"/>
      <c r="N12" s="95">
        <v>1</v>
      </c>
      <c r="O12" s="96">
        <v>6.0000000000000001E-3</v>
      </c>
      <c r="P12" s="32"/>
      <c r="Q12" s="32"/>
      <c r="R12" s="32"/>
      <c r="S12" s="84"/>
      <c r="T12" s="97">
        <f>SUM(P12:S12)/N12</f>
        <v>0</v>
      </c>
      <c r="U12" s="97">
        <f>IF(T12&lt;=100%,T12*O12,O12)</f>
        <v>0</v>
      </c>
      <c r="V12" s="187">
        <f>(U12/2.6)*100</f>
        <v>0</v>
      </c>
      <c r="W12" s="184"/>
      <c r="X12" s="184"/>
      <c r="Y12" s="209"/>
      <c r="Z12" s="233"/>
    </row>
    <row r="13" spans="1:26" ht="63.75" customHeight="1" x14ac:dyDescent="0.2">
      <c r="B13" s="414"/>
      <c r="C13" s="352"/>
      <c r="D13" s="337"/>
      <c r="E13" s="449"/>
      <c r="F13" s="449"/>
      <c r="G13" s="297"/>
      <c r="H13" s="294"/>
      <c r="I13" s="69" t="s">
        <v>51</v>
      </c>
      <c r="J13" s="25" t="s">
        <v>389</v>
      </c>
      <c r="K13" s="25" t="s">
        <v>55</v>
      </c>
      <c r="L13" s="25" t="s">
        <v>99</v>
      </c>
      <c r="M13" s="446"/>
      <c r="N13" s="83">
        <v>1</v>
      </c>
      <c r="O13" s="96">
        <v>5.0000000000000001E-3</v>
      </c>
      <c r="P13" s="147"/>
      <c r="Q13" s="176"/>
      <c r="R13" s="205"/>
      <c r="S13" s="36"/>
      <c r="T13" s="97">
        <f>SUM(P13:S13)/N13</f>
        <v>0</v>
      </c>
      <c r="U13" s="97">
        <f>IF(T13&lt;=100%,T13*O13,O13)</f>
        <v>0</v>
      </c>
      <c r="V13" s="187">
        <f>(U13/2.6)*100</f>
        <v>0</v>
      </c>
      <c r="W13" s="184"/>
      <c r="X13" s="185"/>
      <c r="Y13" s="209"/>
      <c r="Z13" s="234"/>
    </row>
    <row r="14" spans="1:26" ht="101.25" customHeight="1" x14ac:dyDescent="0.2">
      <c r="B14" s="414"/>
      <c r="C14" s="352"/>
      <c r="D14" s="337"/>
      <c r="E14" s="449"/>
      <c r="F14" s="449"/>
      <c r="G14" s="297"/>
      <c r="H14" s="294"/>
      <c r="I14" s="25" t="s">
        <v>45</v>
      </c>
      <c r="J14" s="25" t="s">
        <v>52</v>
      </c>
      <c r="K14" s="25" t="s">
        <v>41</v>
      </c>
      <c r="L14" s="25" t="s">
        <v>100</v>
      </c>
      <c r="M14" s="446"/>
      <c r="N14" s="98">
        <v>1</v>
      </c>
      <c r="O14" s="96">
        <v>5.0000000000000001E-3</v>
      </c>
      <c r="P14" s="98"/>
      <c r="Q14" s="98"/>
      <c r="R14" s="98"/>
      <c r="S14" s="84"/>
      <c r="T14" s="97">
        <f>SUM(P14:S14)/N14</f>
        <v>0</v>
      </c>
      <c r="U14" s="97">
        <f>IF(T14&lt;=100%,T14*O14,O14)</f>
        <v>0</v>
      </c>
      <c r="V14" s="187">
        <f>(U14/2.6)*100</f>
        <v>0</v>
      </c>
      <c r="W14" s="185"/>
      <c r="X14" s="185"/>
      <c r="Y14" s="209"/>
      <c r="Z14" s="209"/>
    </row>
    <row r="15" spans="1:26" ht="74.25" customHeight="1" x14ac:dyDescent="0.2">
      <c r="B15" s="414"/>
      <c r="C15" s="352"/>
      <c r="D15" s="337"/>
      <c r="E15" s="449" t="s">
        <v>46</v>
      </c>
      <c r="F15" s="449"/>
      <c r="G15" s="297">
        <f>+SUM(O15:O16)</f>
        <v>0.01</v>
      </c>
      <c r="H15" s="294" t="s">
        <v>44</v>
      </c>
      <c r="I15" s="69" t="s">
        <v>62</v>
      </c>
      <c r="J15" s="26" t="s">
        <v>57</v>
      </c>
      <c r="K15" s="26" t="s">
        <v>55</v>
      </c>
      <c r="L15" s="25" t="s">
        <v>101</v>
      </c>
      <c r="M15" s="446"/>
      <c r="N15" s="84">
        <v>1</v>
      </c>
      <c r="O15" s="96">
        <v>5.0000000000000001E-3</v>
      </c>
      <c r="P15" s="148"/>
      <c r="Q15" s="177"/>
      <c r="R15" s="206"/>
      <c r="S15" s="36"/>
      <c r="T15" s="97">
        <f>SUM(P15:S15)/N15</f>
        <v>0</v>
      </c>
      <c r="U15" s="97">
        <f>IF(T15&lt;=100%,T15*O15,O15)</f>
        <v>0</v>
      </c>
      <c r="V15" s="187">
        <f>(U15/2.6)*100</f>
        <v>0</v>
      </c>
      <c r="W15" s="184"/>
      <c r="X15" s="184"/>
      <c r="Y15" s="209"/>
      <c r="Z15" s="233"/>
    </row>
    <row r="16" spans="1:26" ht="69.75" customHeight="1" x14ac:dyDescent="0.2">
      <c r="B16" s="415"/>
      <c r="C16" s="353"/>
      <c r="D16" s="338"/>
      <c r="E16" s="449"/>
      <c r="F16" s="449"/>
      <c r="G16" s="297"/>
      <c r="H16" s="294"/>
      <c r="I16" s="69" t="s">
        <v>61</v>
      </c>
      <c r="J16" s="26" t="s">
        <v>60</v>
      </c>
      <c r="K16" s="25" t="s">
        <v>55</v>
      </c>
      <c r="L16" s="25" t="s">
        <v>59</v>
      </c>
      <c r="M16" s="447"/>
      <c r="N16" s="99">
        <v>1</v>
      </c>
      <c r="O16" s="96">
        <v>5.0000000000000001E-3</v>
      </c>
      <c r="P16" s="99"/>
      <c r="Q16" s="99"/>
      <c r="R16" s="99"/>
      <c r="S16" s="36"/>
      <c r="T16" s="97">
        <f>SUM(P16:S16)/N16</f>
        <v>0</v>
      </c>
      <c r="U16" s="97">
        <f>IF(T16&lt;=100%,T16*O16,O16)</f>
        <v>0</v>
      </c>
      <c r="V16" s="187">
        <f>(U16/2.6)*100</f>
        <v>0</v>
      </c>
      <c r="W16" s="178"/>
      <c r="X16" s="178"/>
      <c r="Y16" s="207"/>
      <c r="Z16" s="178"/>
    </row>
    <row r="17" spans="2:26" ht="17.25" customHeight="1" x14ac:dyDescent="0.2">
      <c r="B17" s="448" t="s">
        <v>18</v>
      </c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245">
        <f>SUM(V12:V16)</f>
        <v>0</v>
      </c>
      <c r="W17" s="290"/>
      <c r="X17" s="290"/>
      <c r="Y17" s="290"/>
      <c r="Z17" s="290"/>
    </row>
    <row r="18" spans="2:26" ht="12.75" x14ac:dyDescent="0.2"/>
    <row r="19" spans="2:26" ht="36" x14ac:dyDescent="0.2">
      <c r="D19" s="165">
        <f>+D12</f>
        <v>2.6000000000000002E-2</v>
      </c>
      <c r="Z19" s="133" t="s">
        <v>346</v>
      </c>
    </row>
    <row r="20" spans="2:26" ht="12.75" x14ac:dyDescent="0.2"/>
    <row r="21" spans="2:26" ht="12.75" x14ac:dyDescent="0.2"/>
    <row r="22" spans="2:26" ht="12.75" x14ac:dyDescent="0.2"/>
    <row r="23" spans="2:26" ht="12.75" x14ac:dyDescent="0.2"/>
    <row r="24" spans="2:26" ht="12.75" x14ac:dyDescent="0.2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2:26" ht="12.75" x14ac:dyDescent="0.2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2:26" ht="12.75" x14ac:dyDescent="0.2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2:26" ht="12.75" x14ac:dyDescent="0.2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2:26" ht="12.75" x14ac:dyDescent="0.2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2:26" ht="12.75" x14ac:dyDescent="0.2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2:26" ht="12.75" x14ac:dyDescent="0.2"/>
    <row r="31" spans="2:26" ht="12.75" x14ac:dyDescent="0.2"/>
    <row r="32" spans="2:26" ht="12.75" x14ac:dyDescent="0.2"/>
    <row r="33" spans="18:18" ht="12.75" x14ac:dyDescent="0.2"/>
    <row r="34" spans="18:18" ht="12.75" x14ac:dyDescent="0.2"/>
    <row r="35" spans="18:18" ht="12.75" x14ac:dyDescent="0.2"/>
    <row r="36" spans="18:18" ht="12.75" x14ac:dyDescent="0.2"/>
    <row r="37" spans="18:18" ht="12.75" x14ac:dyDescent="0.2"/>
    <row r="38" spans="18:18" ht="12.75" x14ac:dyDescent="0.2"/>
    <row r="39" spans="18:18" ht="12.75" x14ac:dyDescent="0.2"/>
    <row r="40" spans="18:18" ht="12.75" x14ac:dyDescent="0.2"/>
    <row r="41" spans="18:18" ht="12.75" x14ac:dyDescent="0.2">
      <c r="R41" s="17"/>
    </row>
    <row r="42" spans="18:18" ht="12.75" x14ac:dyDescent="0.2"/>
    <row r="43" spans="18:18" ht="12.75" x14ac:dyDescent="0.2"/>
    <row r="44" spans="18:18" ht="12.75" x14ac:dyDescent="0.2"/>
    <row r="45" spans="18:18" ht="12.75" x14ac:dyDescent="0.2"/>
    <row r="46" spans="18:18" ht="12.75" x14ac:dyDescent="0.2"/>
    <row r="47" spans="18:18" ht="12.75" x14ac:dyDescent="0.2"/>
    <row r="48" spans="18:1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</sheetData>
  <mergeCells count="41">
    <mergeCell ref="B12:B16"/>
    <mergeCell ref="C12:C16"/>
    <mergeCell ref="D12:D16"/>
    <mergeCell ref="P10:P11"/>
    <mergeCell ref="Q10:Q11"/>
    <mergeCell ref="H10:H11"/>
    <mergeCell ref="B10:B11"/>
    <mergeCell ref="C10:C11"/>
    <mergeCell ref="D10:D11"/>
    <mergeCell ref="B1:Z1"/>
    <mergeCell ref="M12:M16"/>
    <mergeCell ref="B6:Z6"/>
    <mergeCell ref="B7:Z7"/>
    <mergeCell ref="W17:Z17"/>
    <mergeCell ref="H15:H16"/>
    <mergeCell ref="B17:U17"/>
    <mergeCell ref="Z10:Z11"/>
    <mergeCell ref="E12:F14"/>
    <mergeCell ref="G12:G14"/>
    <mergeCell ref="H12:H14"/>
    <mergeCell ref="E15:F16"/>
    <mergeCell ref="G15:G16"/>
    <mergeCell ref="T10:T11"/>
    <mergeCell ref="U10:U11"/>
    <mergeCell ref="V10:V11"/>
    <mergeCell ref="B2:E4"/>
    <mergeCell ref="F2:Z4"/>
    <mergeCell ref="R10:R11"/>
    <mergeCell ref="S10:S11"/>
    <mergeCell ref="B5:Z5"/>
    <mergeCell ref="B9:O9"/>
    <mergeCell ref="P9:S9"/>
    <mergeCell ref="E10:F11"/>
    <mergeCell ref="G10:G11"/>
    <mergeCell ref="W10:W11"/>
    <mergeCell ref="X10:X11"/>
    <mergeCell ref="Y10:Y11"/>
    <mergeCell ref="I10:N10"/>
    <mergeCell ref="O10:O11"/>
    <mergeCell ref="B8:Z8"/>
    <mergeCell ref="W9:Z9"/>
  </mergeCells>
  <pageMargins left="0.7" right="0.7" top="0.75" bottom="0.75" header="0.3" footer="0.3"/>
  <pageSetup orientation="portrait" r:id="rId1"/>
  <ignoredErrors>
    <ignoredError sqref="G12 G15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G25"/>
  <sheetViews>
    <sheetView showGridLines="0" topLeftCell="A7" zoomScale="70" zoomScaleNormal="70" zoomScalePageLayoutView="80" workbookViewId="0">
      <selection activeCell="M11" sqref="M11:M12"/>
    </sheetView>
  </sheetViews>
  <sheetFormatPr baseColWidth="10" defaultColWidth="10.85546875" defaultRowHeight="12.75" x14ac:dyDescent="0.2"/>
  <cols>
    <col min="1" max="1" width="19.7109375" style="12" customWidth="1"/>
    <col min="2" max="2" width="20.7109375" style="12" customWidth="1"/>
    <col min="3" max="3" width="10.140625" style="12" customWidth="1"/>
    <col min="4" max="4" width="10.85546875" style="12" customWidth="1"/>
    <col min="5" max="5" width="14.42578125" style="12" customWidth="1"/>
    <col min="6" max="6" width="10.140625" style="12" customWidth="1"/>
    <col min="7" max="7" width="14.7109375" style="12" customWidth="1"/>
    <col min="8" max="8" width="20.28515625" style="12" customWidth="1"/>
    <col min="9" max="9" width="31.85546875" style="12" customWidth="1"/>
    <col min="10" max="10" width="11.42578125" style="12" customWidth="1"/>
    <col min="11" max="11" width="25.42578125" style="12" customWidth="1"/>
    <col min="12" max="12" width="12.42578125" style="12" customWidth="1"/>
    <col min="13" max="13" width="16.85546875" style="12" customWidth="1"/>
    <col min="14" max="14" width="10.28515625" style="12" customWidth="1"/>
    <col min="15" max="15" width="12.7109375" style="18" customWidth="1"/>
    <col min="16" max="16" width="13.85546875" style="18" customWidth="1"/>
    <col min="17" max="17" width="12.5703125" style="18" customWidth="1"/>
    <col min="18" max="18" width="11.5703125" style="18" customWidth="1"/>
    <col min="19" max="19" width="12.5703125" style="18" customWidth="1"/>
    <col min="20" max="21" width="11.85546875" style="18" customWidth="1"/>
    <col min="22" max="22" width="13.28515625" style="18" customWidth="1"/>
    <col min="23" max="23" width="13.5703125" style="18" customWidth="1"/>
    <col min="24" max="25" width="12.42578125" style="18" customWidth="1"/>
    <col min="26" max="26" width="13.140625" style="18" customWidth="1"/>
    <col min="27" max="27" width="13.140625" style="12" customWidth="1"/>
    <col min="28" max="28" width="15.140625" style="12" customWidth="1"/>
    <col min="29" max="29" width="15" style="12" customWidth="1"/>
    <col min="30" max="33" width="39.140625" style="12" customWidth="1"/>
    <col min="34" max="16384" width="10.85546875" style="12"/>
  </cols>
  <sheetData>
    <row r="1" spans="1:33" ht="13.5" customHeight="1" x14ac:dyDescent="0.2">
      <c r="A1" s="312"/>
      <c r="B1" s="312"/>
      <c r="C1" s="312"/>
      <c r="D1" s="312"/>
      <c r="E1" s="313" t="s">
        <v>0</v>
      </c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</row>
    <row r="2" spans="1:33" ht="13.5" customHeight="1" x14ac:dyDescent="0.2">
      <c r="A2" s="312"/>
      <c r="B2" s="312"/>
      <c r="C2" s="312"/>
      <c r="D2" s="312"/>
      <c r="E2" s="316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</row>
    <row r="3" spans="1:33" ht="13.5" customHeight="1" x14ac:dyDescent="0.2">
      <c r="A3" s="312"/>
      <c r="B3" s="312"/>
      <c r="C3" s="312"/>
      <c r="D3" s="312"/>
      <c r="E3" s="319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</row>
    <row r="4" spans="1:33" x14ac:dyDescent="0.2">
      <c r="A4" s="324" t="s">
        <v>86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</row>
    <row r="5" spans="1:33" x14ac:dyDescent="0.2">
      <c r="A5" s="324" t="s">
        <v>118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>
        <f>SUM(AB16:AB19)</f>
        <v>0</v>
      </c>
      <c r="AE5" s="324"/>
      <c r="AF5" s="324"/>
      <c r="AG5" s="324"/>
    </row>
    <row r="6" spans="1:33" x14ac:dyDescent="0.2">
      <c r="A6" s="324" t="s">
        <v>440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 t="e">
        <f>SUM(#REF!)</f>
        <v>#REF!</v>
      </c>
      <c r="AE6" s="324"/>
      <c r="AF6" s="324"/>
      <c r="AG6" s="324"/>
    </row>
    <row r="7" spans="1:33" ht="15.75" customHeight="1" x14ac:dyDescent="0.2">
      <c r="A7" s="312"/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</row>
    <row r="8" spans="1:33" x14ac:dyDescent="0.2">
      <c r="A8" s="322" t="s">
        <v>2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469" t="s">
        <v>3</v>
      </c>
      <c r="P8" s="469"/>
      <c r="Q8" s="469"/>
      <c r="R8" s="469"/>
      <c r="S8" s="469"/>
      <c r="T8" s="469"/>
      <c r="U8" s="469"/>
      <c r="V8" s="469"/>
      <c r="W8" s="469"/>
      <c r="X8" s="469"/>
      <c r="Y8" s="469"/>
      <c r="Z8" s="469"/>
      <c r="AA8" s="48"/>
      <c r="AB8" s="48"/>
      <c r="AC8" s="48"/>
      <c r="AD8" s="308" t="s">
        <v>4</v>
      </c>
      <c r="AE8" s="308"/>
      <c r="AF8" s="308"/>
      <c r="AG8" s="308"/>
    </row>
    <row r="9" spans="1:33" ht="12.75" customHeight="1" x14ac:dyDescent="0.2">
      <c r="A9" s="305" t="s">
        <v>141</v>
      </c>
      <c r="B9" s="305" t="s">
        <v>397</v>
      </c>
      <c r="C9" s="307" t="s">
        <v>6</v>
      </c>
      <c r="D9" s="305" t="s">
        <v>7</v>
      </c>
      <c r="E9" s="305"/>
      <c r="F9" s="307" t="s">
        <v>6</v>
      </c>
      <c r="G9" s="305" t="s">
        <v>8</v>
      </c>
      <c r="H9" s="400" t="s">
        <v>47</v>
      </c>
      <c r="I9" s="400"/>
      <c r="J9" s="400"/>
      <c r="K9" s="400"/>
      <c r="L9" s="400"/>
      <c r="M9" s="400"/>
      <c r="N9" s="307" t="s">
        <v>6</v>
      </c>
      <c r="O9" s="291" t="s">
        <v>407</v>
      </c>
      <c r="P9" s="291" t="s">
        <v>408</v>
      </c>
      <c r="Q9" s="291" t="s">
        <v>409</v>
      </c>
      <c r="R9" s="291" t="s">
        <v>410</v>
      </c>
      <c r="S9" s="291" t="s">
        <v>411</v>
      </c>
      <c r="T9" s="291" t="s">
        <v>412</v>
      </c>
      <c r="U9" s="291" t="s">
        <v>413</v>
      </c>
      <c r="V9" s="291" t="s">
        <v>414</v>
      </c>
      <c r="W9" s="291" t="s">
        <v>415</v>
      </c>
      <c r="X9" s="291" t="s">
        <v>416</v>
      </c>
      <c r="Y9" s="291" t="s">
        <v>417</v>
      </c>
      <c r="Z9" s="291" t="s">
        <v>418</v>
      </c>
      <c r="AA9" s="307" t="s">
        <v>10</v>
      </c>
      <c r="AB9" s="307" t="s">
        <v>11</v>
      </c>
      <c r="AC9" s="307" t="s">
        <v>12</v>
      </c>
      <c r="AD9" s="291" t="s">
        <v>13</v>
      </c>
      <c r="AE9" s="291" t="s">
        <v>109</v>
      </c>
      <c r="AF9" s="291" t="s">
        <v>15</v>
      </c>
      <c r="AG9" s="291" t="s">
        <v>16</v>
      </c>
    </row>
    <row r="10" spans="1:33" ht="57" customHeight="1" x14ac:dyDescent="0.2">
      <c r="A10" s="305"/>
      <c r="B10" s="305"/>
      <c r="C10" s="307"/>
      <c r="D10" s="305"/>
      <c r="E10" s="305"/>
      <c r="F10" s="307"/>
      <c r="G10" s="305"/>
      <c r="H10" s="46" t="s">
        <v>49</v>
      </c>
      <c r="I10" s="47" t="s">
        <v>48</v>
      </c>
      <c r="J10" s="47" t="s">
        <v>53</v>
      </c>
      <c r="K10" s="46" t="s">
        <v>37</v>
      </c>
      <c r="L10" s="47" t="s">
        <v>54</v>
      </c>
      <c r="M10" s="47" t="s">
        <v>58</v>
      </c>
      <c r="N10" s="307"/>
      <c r="O10" s="292"/>
      <c r="P10" s="292"/>
      <c r="Q10" s="292"/>
      <c r="R10" s="292"/>
      <c r="S10" s="292"/>
      <c r="T10" s="291"/>
      <c r="U10" s="291"/>
      <c r="V10" s="291"/>
      <c r="W10" s="292"/>
      <c r="X10" s="292"/>
      <c r="Y10" s="292"/>
      <c r="Z10" s="292"/>
      <c r="AA10" s="307"/>
      <c r="AB10" s="307"/>
      <c r="AC10" s="307"/>
      <c r="AD10" s="291"/>
      <c r="AE10" s="291"/>
      <c r="AF10" s="291"/>
      <c r="AG10" s="291"/>
    </row>
    <row r="11" spans="1:33" ht="12.75" customHeight="1" x14ac:dyDescent="0.2">
      <c r="A11" s="293" t="s">
        <v>192</v>
      </c>
      <c r="B11" s="293"/>
      <c r="C11" s="293"/>
      <c r="D11" s="293"/>
      <c r="E11" s="293"/>
      <c r="F11" s="293"/>
      <c r="G11" s="293"/>
      <c r="H11" s="294" t="s">
        <v>222</v>
      </c>
      <c r="I11" s="294" t="s">
        <v>223</v>
      </c>
      <c r="J11" s="294" t="s">
        <v>38</v>
      </c>
      <c r="K11" s="294" t="s">
        <v>224</v>
      </c>
      <c r="L11" s="294" t="s">
        <v>36</v>
      </c>
      <c r="M11" s="450">
        <v>104580000</v>
      </c>
      <c r="N11" s="336">
        <f>+F12</f>
        <v>0.01</v>
      </c>
      <c r="O11" s="450"/>
      <c r="P11" s="450"/>
      <c r="Q11" s="450"/>
      <c r="R11" s="450"/>
      <c r="S11" s="450"/>
      <c r="T11" s="450"/>
      <c r="U11" s="450"/>
      <c r="V11" s="450"/>
      <c r="W11" s="450"/>
      <c r="X11" s="450"/>
      <c r="Y11" s="450"/>
      <c r="Z11" s="450"/>
      <c r="AA11" s="418">
        <f>+SUM(O11:Z12)/M11</f>
        <v>0</v>
      </c>
      <c r="AB11" s="326">
        <f>IF(AA11&lt;=100%,AA11*N11,N11)</f>
        <v>0</v>
      </c>
      <c r="AC11" s="412">
        <f>(AB11/3.6)*100</f>
        <v>0</v>
      </c>
      <c r="AD11" s="398"/>
      <c r="AE11" s="398"/>
      <c r="AF11" s="398"/>
      <c r="AG11" s="398"/>
    </row>
    <row r="12" spans="1:33" ht="76.5" x14ac:dyDescent="0.2">
      <c r="A12" s="41" t="s">
        <v>132</v>
      </c>
      <c r="B12" s="39" t="str">
        <f>'Objetivos Estratégicos'!B7</f>
        <v xml:space="preserve">Incrementar el nivel de eficiencia y eficacia operativa y administrativa en la gestión y ejecución de los procesos. </v>
      </c>
      <c r="C12" s="43">
        <f>+F12</f>
        <v>0.01</v>
      </c>
      <c r="D12" s="294" t="s">
        <v>220</v>
      </c>
      <c r="E12" s="294"/>
      <c r="F12" s="43">
        <v>0.01</v>
      </c>
      <c r="G12" s="38" t="s">
        <v>221</v>
      </c>
      <c r="H12" s="295"/>
      <c r="I12" s="295"/>
      <c r="J12" s="295"/>
      <c r="K12" s="295"/>
      <c r="L12" s="295"/>
      <c r="M12" s="451"/>
      <c r="N12" s="454"/>
      <c r="O12" s="451"/>
      <c r="P12" s="451"/>
      <c r="Q12" s="451"/>
      <c r="R12" s="451"/>
      <c r="S12" s="451"/>
      <c r="T12" s="451"/>
      <c r="U12" s="451"/>
      <c r="V12" s="451"/>
      <c r="W12" s="451"/>
      <c r="X12" s="451"/>
      <c r="Y12" s="459"/>
      <c r="Z12" s="459"/>
      <c r="AA12" s="418"/>
      <c r="AB12" s="327"/>
      <c r="AC12" s="412"/>
      <c r="AD12" s="398"/>
      <c r="AE12" s="398"/>
      <c r="AF12" s="398"/>
      <c r="AG12" s="398"/>
    </row>
    <row r="13" spans="1:33" ht="12.75" customHeight="1" x14ac:dyDescent="0.2">
      <c r="A13" s="293" t="s">
        <v>282</v>
      </c>
      <c r="B13" s="293"/>
      <c r="C13" s="293"/>
      <c r="D13" s="293"/>
      <c r="E13" s="293"/>
      <c r="F13" s="293"/>
      <c r="G13" s="293"/>
      <c r="H13" s="294" t="s">
        <v>284</v>
      </c>
      <c r="I13" s="294" t="s">
        <v>285</v>
      </c>
      <c r="J13" s="294" t="s">
        <v>38</v>
      </c>
      <c r="K13" s="294" t="s">
        <v>286</v>
      </c>
      <c r="L13" s="294" t="s">
        <v>70</v>
      </c>
      <c r="M13" s="455" t="s">
        <v>396</v>
      </c>
      <c r="N13" s="336">
        <v>5.0000000000000001E-3</v>
      </c>
      <c r="O13" s="463"/>
      <c r="P13" s="464"/>
      <c r="Q13" s="464"/>
      <c r="R13" s="464"/>
      <c r="S13" s="464"/>
      <c r="T13" s="464"/>
      <c r="U13" s="464"/>
      <c r="V13" s="464"/>
      <c r="W13" s="464"/>
      <c r="X13" s="464"/>
      <c r="Y13" s="464"/>
      <c r="Z13" s="465"/>
      <c r="AA13" s="412">
        <f>IF(O13&gt;0%,100%,0)</f>
        <v>0</v>
      </c>
      <c r="AB13" s="326">
        <f>IF(AA13&lt;=100%,AA13*N13,N13)</f>
        <v>0</v>
      </c>
      <c r="AC13" s="306">
        <f>(AB13/3.6)*100</f>
        <v>0</v>
      </c>
      <c r="AD13" s="398"/>
      <c r="AE13" s="398"/>
      <c r="AF13" s="398"/>
      <c r="AG13" s="398"/>
    </row>
    <row r="14" spans="1:33" ht="45" customHeight="1" x14ac:dyDescent="0.2">
      <c r="A14" s="303" t="str">
        <f>+A12</f>
        <v>DIMENSIÓN 1: Creemos en la cultura ciudadana</v>
      </c>
      <c r="B14" s="351" t="str">
        <f>+'Objetivos Estratégicos'!B6</f>
        <v xml:space="preserve">Administrar y optimizar eficientemente los recursos financieros acorde con las expectativas de los asociados. </v>
      </c>
      <c r="C14" s="336">
        <f>+F14</f>
        <v>6.0000000000000001E-3</v>
      </c>
      <c r="D14" s="294" t="s">
        <v>283</v>
      </c>
      <c r="E14" s="294"/>
      <c r="F14" s="336">
        <f>+SUM(N13:N15)</f>
        <v>6.0000000000000001E-3</v>
      </c>
      <c r="G14" s="64" t="s">
        <v>221</v>
      </c>
      <c r="H14" s="295"/>
      <c r="I14" s="295"/>
      <c r="J14" s="295"/>
      <c r="K14" s="295"/>
      <c r="L14" s="295"/>
      <c r="M14" s="456"/>
      <c r="N14" s="454"/>
      <c r="O14" s="466"/>
      <c r="P14" s="467"/>
      <c r="Q14" s="467"/>
      <c r="R14" s="467"/>
      <c r="S14" s="467"/>
      <c r="T14" s="467"/>
      <c r="U14" s="467"/>
      <c r="V14" s="467"/>
      <c r="W14" s="467"/>
      <c r="X14" s="467"/>
      <c r="Y14" s="467"/>
      <c r="Z14" s="468"/>
      <c r="AA14" s="412"/>
      <c r="AB14" s="327"/>
      <c r="AC14" s="306"/>
      <c r="AD14" s="398"/>
      <c r="AE14" s="398"/>
      <c r="AF14" s="398"/>
      <c r="AG14" s="398"/>
    </row>
    <row r="15" spans="1:33" ht="94.5" customHeight="1" x14ac:dyDescent="0.2">
      <c r="A15" s="350"/>
      <c r="B15" s="353"/>
      <c r="C15" s="338"/>
      <c r="D15" s="294" t="s">
        <v>390</v>
      </c>
      <c r="E15" s="294"/>
      <c r="F15" s="338"/>
      <c r="G15" s="69" t="s">
        <v>221</v>
      </c>
      <c r="H15" s="69" t="s">
        <v>391</v>
      </c>
      <c r="I15" s="2" t="s">
        <v>321</v>
      </c>
      <c r="J15" s="69" t="s">
        <v>41</v>
      </c>
      <c r="K15" s="69" t="s">
        <v>322</v>
      </c>
      <c r="L15" s="69" t="s">
        <v>36</v>
      </c>
      <c r="M15" s="94">
        <v>1</v>
      </c>
      <c r="N15" s="74">
        <v>1E-3</v>
      </c>
      <c r="O15" s="369"/>
      <c r="P15" s="370"/>
      <c r="Q15" s="371"/>
      <c r="R15" s="369"/>
      <c r="S15" s="370"/>
      <c r="T15" s="371"/>
      <c r="U15" s="369"/>
      <c r="V15" s="370"/>
      <c r="W15" s="371"/>
      <c r="X15" s="369"/>
      <c r="Y15" s="370"/>
      <c r="Z15" s="371"/>
      <c r="AA15" s="111">
        <f>SUM(O15:Z15)/M15</f>
        <v>0</v>
      </c>
      <c r="AB15" s="72">
        <f>IF(AA15&lt;=100%,AA15*N15,N15)</f>
        <v>0</v>
      </c>
      <c r="AC15" s="110">
        <f>(AB15/3.6)*100</f>
        <v>0</v>
      </c>
      <c r="AD15" s="174"/>
      <c r="AE15" s="174"/>
      <c r="AF15" s="208"/>
      <c r="AG15" s="244"/>
    </row>
    <row r="16" spans="1:33" ht="60" customHeight="1" x14ac:dyDescent="0.2">
      <c r="A16" s="350"/>
      <c r="B16" s="340" t="str">
        <f>'Objetivos Estratégicos'!B7</f>
        <v xml:space="preserve">Incrementar el nivel de eficiencia y eficacia operativa y administrativa en la gestión y ejecución de los procesos. </v>
      </c>
      <c r="C16" s="383">
        <f>+SUM(F16:F17)</f>
        <v>0.01</v>
      </c>
      <c r="D16" s="294" t="s">
        <v>392</v>
      </c>
      <c r="E16" s="294"/>
      <c r="F16" s="40">
        <f>+N16</f>
        <v>5.0000000000000001E-3</v>
      </c>
      <c r="G16" s="294" t="s">
        <v>104</v>
      </c>
      <c r="H16" s="38" t="s">
        <v>90</v>
      </c>
      <c r="I16" s="38" t="s">
        <v>87</v>
      </c>
      <c r="J16" s="294" t="s">
        <v>41</v>
      </c>
      <c r="K16" s="38" t="s">
        <v>103</v>
      </c>
      <c r="L16" s="294" t="s">
        <v>36</v>
      </c>
      <c r="M16" s="57">
        <v>0.9</v>
      </c>
      <c r="N16" s="40">
        <v>5.0000000000000001E-3</v>
      </c>
      <c r="O16" s="452"/>
      <c r="P16" s="453"/>
      <c r="Q16" s="453"/>
      <c r="R16" s="458"/>
      <c r="S16" s="458"/>
      <c r="T16" s="458"/>
      <c r="U16" s="460"/>
      <c r="V16" s="461"/>
      <c r="W16" s="457"/>
      <c r="X16" s="462"/>
      <c r="Y16" s="462"/>
      <c r="Z16" s="462"/>
      <c r="AA16" s="258">
        <f>MAX(O16:Z16)/M16</f>
        <v>0</v>
      </c>
      <c r="AB16" s="43">
        <f>IF(AA16&lt;=100%,AA16*N16,N16)</f>
        <v>0</v>
      </c>
      <c r="AC16" s="336">
        <f>((SUM(AB16:AB19))/3.6)*100</f>
        <v>0</v>
      </c>
      <c r="AD16" s="174"/>
      <c r="AE16" s="208"/>
      <c r="AF16" s="37"/>
      <c r="AG16" s="37"/>
    </row>
    <row r="17" spans="1:33" ht="76.5" customHeight="1" x14ac:dyDescent="0.2">
      <c r="A17" s="350"/>
      <c r="B17" s="340"/>
      <c r="C17" s="383"/>
      <c r="D17" s="294"/>
      <c r="E17" s="294"/>
      <c r="F17" s="40">
        <f>+N17</f>
        <v>5.0000000000000001E-3</v>
      </c>
      <c r="G17" s="294"/>
      <c r="H17" s="38" t="s">
        <v>91</v>
      </c>
      <c r="I17" s="38" t="s">
        <v>88</v>
      </c>
      <c r="J17" s="294"/>
      <c r="K17" s="38" t="s">
        <v>103</v>
      </c>
      <c r="L17" s="294"/>
      <c r="M17" s="57">
        <v>0.9</v>
      </c>
      <c r="N17" s="40">
        <v>5.0000000000000001E-3</v>
      </c>
      <c r="O17" s="457"/>
      <c r="P17" s="458"/>
      <c r="Q17" s="458"/>
      <c r="R17" s="458"/>
      <c r="S17" s="458"/>
      <c r="T17" s="458"/>
      <c r="U17" s="460"/>
      <c r="V17" s="461"/>
      <c r="W17" s="457"/>
      <c r="X17" s="458"/>
      <c r="Y17" s="458"/>
      <c r="Z17" s="458"/>
      <c r="AA17" s="58">
        <f>MAX(O17:Z17)/M17</f>
        <v>0</v>
      </c>
      <c r="AB17" s="43">
        <f>IF(AA17&lt;=100%,AA17*N17,N17)</f>
        <v>0</v>
      </c>
      <c r="AC17" s="337"/>
      <c r="AD17" s="174"/>
      <c r="AE17" s="208"/>
      <c r="AF17" s="208"/>
      <c r="AG17" s="244"/>
    </row>
    <row r="18" spans="1:33" ht="69.75" customHeight="1" x14ac:dyDescent="0.2">
      <c r="A18" s="350"/>
      <c r="B18" s="340" t="str">
        <f>'Objetivos Estratégicos'!B6</f>
        <v xml:space="preserve">Administrar y optimizar eficientemente los recursos financieros acorde con las expectativas de los asociados. </v>
      </c>
      <c r="C18" s="383">
        <f>+SUM(F18:F19)</f>
        <v>0.01</v>
      </c>
      <c r="D18" s="294" t="s">
        <v>392</v>
      </c>
      <c r="E18" s="294"/>
      <c r="F18" s="40">
        <f>+N18</f>
        <v>5.0000000000000001E-3</v>
      </c>
      <c r="G18" s="294"/>
      <c r="H18" s="38" t="s">
        <v>92</v>
      </c>
      <c r="I18" s="38" t="s">
        <v>393</v>
      </c>
      <c r="J18" s="294"/>
      <c r="K18" s="38" t="s">
        <v>94</v>
      </c>
      <c r="L18" s="294" t="s">
        <v>56</v>
      </c>
      <c r="M18" s="59" t="s">
        <v>129</v>
      </c>
      <c r="N18" s="40">
        <v>5.0000000000000001E-3</v>
      </c>
      <c r="O18" s="151"/>
      <c r="P18" s="152"/>
      <c r="Q18" s="151"/>
      <c r="R18" s="60"/>
      <c r="S18" s="60"/>
      <c r="T18" s="60"/>
      <c r="U18" s="19"/>
      <c r="V18" s="19"/>
      <c r="W18" s="19"/>
      <c r="X18" s="24"/>
      <c r="Y18" s="24"/>
      <c r="Z18" s="24"/>
      <c r="AA18" s="61">
        <f>IFERROR(IF(AVERAGE(O18:Z18)&gt;1.25,100%,IF(AVERAGE(O18:Z18)&lt;1.25,AVERAGE(O18:Z18)/1.25,0)),0)</f>
        <v>0</v>
      </c>
      <c r="AB18" s="43">
        <f>IF(AA18&lt;=100%,AA18*N18,N18)</f>
        <v>0</v>
      </c>
      <c r="AC18" s="337"/>
      <c r="AD18" s="174"/>
      <c r="AE18" s="174"/>
      <c r="AF18" s="208"/>
      <c r="AG18" s="244"/>
    </row>
    <row r="19" spans="1:33" ht="73.5" customHeight="1" x14ac:dyDescent="0.2">
      <c r="A19" s="304"/>
      <c r="B19" s="340"/>
      <c r="C19" s="383"/>
      <c r="D19" s="294"/>
      <c r="E19" s="294"/>
      <c r="F19" s="40">
        <f>+N19</f>
        <v>5.0000000000000001E-3</v>
      </c>
      <c r="G19" s="294"/>
      <c r="H19" s="38" t="s">
        <v>93</v>
      </c>
      <c r="I19" s="38" t="s">
        <v>89</v>
      </c>
      <c r="J19" s="294"/>
      <c r="K19" s="38" t="s">
        <v>95</v>
      </c>
      <c r="L19" s="294"/>
      <c r="M19" s="57" t="s">
        <v>130</v>
      </c>
      <c r="N19" s="40">
        <v>5.0000000000000001E-3</v>
      </c>
      <c r="O19" s="256"/>
      <c r="P19" s="254"/>
      <c r="Q19" s="256"/>
      <c r="R19" s="254"/>
      <c r="S19" s="254"/>
      <c r="T19" s="254"/>
      <c r="U19" s="254"/>
      <c r="V19" s="254"/>
      <c r="W19" s="254"/>
      <c r="X19" s="254"/>
      <c r="Y19" s="254"/>
      <c r="Z19" s="254"/>
      <c r="AA19" s="58">
        <f>IFERROR(IF(AVERAGE(O19:Z19)&lt;30%,100%,IF(AVERAGE(O19:Z19)&lt;40%,80%,IF(AVERAGE(O19:Z19)&lt;50%,70%,60%))),0)</f>
        <v>0</v>
      </c>
      <c r="AB19" s="43">
        <f>IF(AA19&lt;=100%,AA19*N19,N19)</f>
        <v>0</v>
      </c>
      <c r="AC19" s="338"/>
      <c r="AD19" s="174"/>
      <c r="AE19" s="174"/>
      <c r="AF19" s="210"/>
      <c r="AG19" s="257"/>
    </row>
    <row r="20" spans="1:33" ht="13.5" customHeight="1" x14ac:dyDescent="0.2">
      <c r="A20" s="331" t="s">
        <v>18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62">
        <f>SUM(AC11:AC19)</f>
        <v>0</v>
      </c>
      <c r="AD20" s="290"/>
      <c r="AE20" s="290"/>
      <c r="AF20" s="290"/>
      <c r="AG20" s="290"/>
    </row>
    <row r="22" spans="1:33" ht="35.25" customHeight="1" x14ac:dyDescent="0.2">
      <c r="C22" s="108">
        <f>+C18+C16+C14+C12</f>
        <v>3.6000000000000004E-2</v>
      </c>
      <c r="AG22" s="130" t="s">
        <v>344</v>
      </c>
    </row>
    <row r="25" spans="1:33" x14ac:dyDescent="0.2">
      <c r="U25" s="20"/>
    </row>
  </sheetData>
  <mergeCells count="111">
    <mergeCell ref="A1:D3"/>
    <mergeCell ref="A4:AG4"/>
    <mergeCell ref="G9:G10"/>
    <mergeCell ref="A5:AG5"/>
    <mergeCell ref="A6:AG6"/>
    <mergeCell ref="A7:AG7"/>
    <mergeCell ref="A8:N8"/>
    <mergeCell ref="O8:Z8"/>
    <mergeCell ref="AD8:AG8"/>
    <mergeCell ref="A9:A10"/>
    <mergeCell ref="B9:B10"/>
    <mergeCell ref="C9:C10"/>
    <mergeCell ref="D9:E10"/>
    <mergeCell ref="F9:F10"/>
    <mergeCell ref="X9:X10"/>
    <mergeCell ref="H9:M9"/>
    <mergeCell ref="N9:N10"/>
    <mergeCell ref="AF9:AF10"/>
    <mergeCell ref="Y9:Y10"/>
    <mergeCell ref="Z9:Z10"/>
    <mergeCell ref="O9:O10"/>
    <mergeCell ref="P9:P10"/>
    <mergeCell ref="Q9:Q10"/>
    <mergeCell ref="R9:R10"/>
    <mergeCell ref="AA9:AA10"/>
    <mergeCell ref="O13:Z14"/>
    <mergeCell ref="T9:T10"/>
    <mergeCell ref="U9:U10"/>
    <mergeCell ref="V9:V10"/>
    <mergeCell ref="W9:W10"/>
    <mergeCell ref="E1:AG3"/>
    <mergeCell ref="AG9:AG10"/>
    <mergeCell ref="S9:S10"/>
    <mergeCell ref="AE9:AE10"/>
    <mergeCell ref="AB9:AB10"/>
    <mergeCell ref="AC9:AC10"/>
    <mergeCell ref="AD9:AD10"/>
    <mergeCell ref="AD13:AD14"/>
    <mergeCell ref="AE13:AE14"/>
    <mergeCell ref="AF13:AF14"/>
    <mergeCell ref="AG13:AG14"/>
    <mergeCell ref="AD11:AD12"/>
    <mergeCell ref="AE11:AE12"/>
    <mergeCell ref="AF11:AF12"/>
    <mergeCell ref="AG11:AG12"/>
    <mergeCell ref="AB13:AB14"/>
    <mergeCell ref="AC13:AC14"/>
    <mergeCell ref="Q11:Q12"/>
    <mergeCell ref="R11:R12"/>
    <mergeCell ref="S11:S12"/>
    <mergeCell ref="T11:T12"/>
    <mergeCell ref="U11:U12"/>
    <mergeCell ref="R17:T17"/>
    <mergeCell ref="U17:W17"/>
    <mergeCell ref="X17:Z17"/>
    <mergeCell ref="AA11:AA12"/>
    <mergeCell ref="V11:V12"/>
    <mergeCell ref="W11:W12"/>
    <mergeCell ref="X11:X12"/>
    <mergeCell ref="Y11:Y12"/>
    <mergeCell ref="R16:T16"/>
    <mergeCell ref="U16:W16"/>
    <mergeCell ref="X16:Z16"/>
    <mergeCell ref="N13:N14"/>
    <mergeCell ref="L13:L14"/>
    <mergeCell ref="M13:M14"/>
    <mergeCell ref="A13:G13"/>
    <mergeCell ref="H13:H14"/>
    <mergeCell ref="AD20:AG20"/>
    <mergeCell ref="AC16:AC19"/>
    <mergeCell ref="D12:E12"/>
    <mergeCell ref="O11:O12"/>
    <mergeCell ref="P11:P12"/>
    <mergeCell ref="A11:G11"/>
    <mergeCell ref="H11:H12"/>
    <mergeCell ref="I11:I12"/>
    <mergeCell ref="J11:J12"/>
    <mergeCell ref="K11:K12"/>
    <mergeCell ref="N11:N12"/>
    <mergeCell ref="I13:I14"/>
    <mergeCell ref="G16:G19"/>
    <mergeCell ref="J16:J19"/>
    <mergeCell ref="L16:L17"/>
    <mergeCell ref="O17:Q17"/>
    <mergeCell ref="J13:J14"/>
    <mergeCell ref="K13:K14"/>
    <mergeCell ref="Z11:Z12"/>
    <mergeCell ref="AB11:AB12"/>
    <mergeCell ref="AC11:AC12"/>
    <mergeCell ref="AA13:AA14"/>
    <mergeCell ref="L11:L12"/>
    <mergeCell ref="M11:M12"/>
    <mergeCell ref="A20:AB20"/>
    <mergeCell ref="L18:L19"/>
    <mergeCell ref="D16:E17"/>
    <mergeCell ref="B16:B17"/>
    <mergeCell ref="C16:C17"/>
    <mergeCell ref="B18:B19"/>
    <mergeCell ref="C18:C19"/>
    <mergeCell ref="D18:E19"/>
    <mergeCell ref="D15:E15"/>
    <mergeCell ref="B14:B15"/>
    <mergeCell ref="C14:C15"/>
    <mergeCell ref="O15:Q15"/>
    <mergeCell ref="R15:T15"/>
    <mergeCell ref="U15:W15"/>
    <mergeCell ref="X15:Z15"/>
    <mergeCell ref="O16:Q16"/>
    <mergeCell ref="A14:A19"/>
    <mergeCell ref="F14:F15"/>
    <mergeCell ref="D14:E14"/>
  </mergeCells>
  <pageMargins left="0.7" right="0.7" top="0.75" bottom="0.75" header="0.3" footer="0.3"/>
  <pageSetup orientation="portrait" r:id="rId1"/>
  <ignoredErrors>
    <ignoredError sqref="AB18 AB19" evalError="1"/>
    <ignoredError sqref="F14 AA18:AA19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WWP39"/>
  <sheetViews>
    <sheetView showGridLines="0" topLeftCell="J1" zoomScale="70" zoomScaleNormal="70" zoomScalePageLayoutView="70" workbookViewId="0">
      <selection activeCell="O16" sqref="O16:Z36"/>
    </sheetView>
  </sheetViews>
  <sheetFormatPr baseColWidth="10" defaultColWidth="0" defaultRowHeight="12.75" x14ac:dyDescent="0.2"/>
  <cols>
    <col min="1" max="1" width="19.7109375" style="12" customWidth="1"/>
    <col min="2" max="2" width="19.42578125" style="12" customWidth="1"/>
    <col min="3" max="3" width="10.42578125" style="12" customWidth="1"/>
    <col min="4" max="5" width="16.42578125" style="12" customWidth="1"/>
    <col min="6" max="6" width="10.140625" style="12" customWidth="1"/>
    <col min="7" max="7" width="18.140625" style="12" customWidth="1"/>
    <col min="8" max="8" width="19.5703125" style="12" customWidth="1"/>
    <col min="9" max="9" width="23.7109375" style="12" customWidth="1"/>
    <col min="10" max="10" width="12.5703125" style="12" customWidth="1"/>
    <col min="11" max="11" width="25.42578125" style="12" customWidth="1"/>
    <col min="12" max="12" width="12.42578125" style="12" customWidth="1"/>
    <col min="13" max="13" width="13.42578125" style="23" customWidth="1"/>
    <col min="14" max="14" width="11.42578125" style="12" customWidth="1"/>
    <col min="15" max="15" width="7.7109375" style="12" customWidth="1"/>
    <col min="16" max="16" width="8.7109375" style="12" customWidth="1"/>
    <col min="17" max="21" width="7.7109375" style="12" customWidth="1"/>
    <col min="22" max="22" width="9.140625" style="12" customWidth="1"/>
    <col min="23" max="23" width="7.7109375" style="12" customWidth="1"/>
    <col min="24" max="24" width="9.28515625" style="12" customWidth="1"/>
    <col min="25" max="26" width="7.7109375" style="12" customWidth="1"/>
    <col min="27" max="27" width="13.42578125" style="12" customWidth="1"/>
    <col min="28" max="28" width="16" style="12" customWidth="1"/>
    <col min="29" max="29" width="12.28515625" style="12" customWidth="1"/>
    <col min="30" max="30" width="45.28515625" style="12" customWidth="1"/>
    <col min="31" max="33" width="40" style="12" customWidth="1"/>
    <col min="34" max="34" width="23.42578125" style="12" customWidth="1"/>
    <col min="35" max="256" width="10.85546875" style="12" hidden="1"/>
    <col min="257" max="257" width="19.7109375" style="12" hidden="1"/>
    <col min="258" max="258" width="19.42578125" style="12" hidden="1"/>
    <col min="259" max="259" width="10.42578125" style="12" hidden="1"/>
    <col min="260" max="260" width="16.42578125" style="12" hidden="1"/>
    <col min="261" max="261" width="27.28515625" style="12" hidden="1"/>
    <col min="262" max="262" width="10.140625" style="12" hidden="1"/>
    <col min="263" max="263" width="18.140625" style="12" hidden="1"/>
    <col min="264" max="264" width="21" style="12" hidden="1"/>
    <col min="265" max="265" width="23.7109375" style="12" hidden="1"/>
    <col min="266" max="266" width="10.7109375" style="12" hidden="1"/>
    <col min="267" max="267" width="25.42578125" style="12" hidden="1"/>
    <col min="268" max="268" width="12.42578125" style="12" hidden="1"/>
    <col min="269" max="269" width="13.42578125" style="12" hidden="1"/>
    <col min="270" max="270" width="10.28515625" style="12" hidden="1"/>
    <col min="271" max="279" width="15.42578125" style="12" hidden="1"/>
    <col min="280" max="280" width="15.85546875" style="12" hidden="1"/>
    <col min="281" max="281" width="13.42578125" style="12" hidden="1"/>
    <col min="282" max="282" width="12.85546875" style="12" hidden="1"/>
    <col min="283" max="283" width="13.42578125" style="12" hidden="1"/>
    <col min="284" max="284" width="16" style="12" hidden="1"/>
    <col min="285" max="285" width="12.28515625" style="12" hidden="1"/>
    <col min="286" max="286" width="17.28515625" style="12" hidden="1"/>
    <col min="287" max="287" width="16.28515625" style="12" hidden="1"/>
    <col min="288" max="288" width="22.5703125" style="12" hidden="1"/>
    <col min="289" max="289" width="21.140625" style="12" hidden="1"/>
    <col min="290" max="290" width="23.42578125" style="12" hidden="1"/>
    <col min="291" max="512" width="10.85546875" style="12" hidden="1"/>
    <col min="513" max="513" width="19.7109375" style="12" hidden="1"/>
    <col min="514" max="514" width="19.42578125" style="12" hidden="1"/>
    <col min="515" max="515" width="10.42578125" style="12" hidden="1"/>
    <col min="516" max="516" width="16.42578125" style="12" hidden="1"/>
    <col min="517" max="517" width="27.28515625" style="12" hidden="1"/>
    <col min="518" max="518" width="10.140625" style="12" hidden="1"/>
    <col min="519" max="519" width="18.140625" style="12" hidden="1"/>
    <col min="520" max="520" width="21" style="12" hidden="1"/>
    <col min="521" max="521" width="23.7109375" style="12" hidden="1"/>
    <col min="522" max="522" width="10.7109375" style="12" hidden="1"/>
    <col min="523" max="523" width="25.42578125" style="12" hidden="1"/>
    <col min="524" max="524" width="12.42578125" style="12" hidden="1"/>
    <col min="525" max="525" width="13.42578125" style="12" hidden="1"/>
    <col min="526" max="526" width="10.28515625" style="12" hidden="1"/>
    <col min="527" max="535" width="15.42578125" style="12" hidden="1"/>
    <col min="536" max="536" width="15.85546875" style="12" hidden="1"/>
    <col min="537" max="537" width="13.42578125" style="12" hidden="1"/>
    <col min="538" max="538" width="12.85546875" style="12" hidden="1"/>
    <col min="539" max="539" width="13.42578125" style="12" hidden="1"/>
    <col min="540" max="540" width="16" style="12" hidden="1"/>
    <col min="541" max="541" width="12.28515625" style="12" hidden="1"/>
    <col min="542" max="542" width="17.28515625" style="12" hidden="1"/>
    <col min="543" max="543" width="16.28515625" style="12" hidden="1"/>
    <col min="544" max="544" width="22.5703125" style="12" hidden="1"/>
    <col min="545" max="545" width="21.140625" style="12" hidden="1"/>
    <col min="546" max="546" width="23.42578125" style="12" hidden="1"/>
    <col min="547" max="768" width="10.85546875" style="12" hidden="1"/>
    <col min="769" max="769" width="19.7109375" style="12" hidden="1"/>
    <col min="770" max="770" width="19.42578125" style="12" hidden="1"/>
    <col min="771" max="771" width="10.42578125" style="12" hidden="1"/>
    <col min="772" max="772" width="16.42578125" style="12" hidden="1"/>
    <col min="773" max="773" width="27.28515625" style="12" hidden="1"/>
    <col min="774" max="774" width="10.140625" style="12" hidden="1"/>
    <col min="775" max="775" width="18.140625" style="12" hidden="1"/>
    <col min="776" max="776" width="21" style="12" hidden="1"/>
    <col min="777" max="777" width="23.7109375" style="12" hidden="1"/>
    <col min="778" max="778" width="10.7109375" style="12" hidden="1"/>
    <col min="779" max="779" width="25.42578125" style="12" hidden="1"/>
    <col min="780" max="780" width="12.42578125" style="12" hidden="1"/>
    <col min="781" max="781" width="13.42578125" style="12" hidden="1"/>
    <col min="782" max="782" width="10.28515625" style="12" hidden="1"/>
    <col min="783" max="791" width="15.42578125" style="12" hidden="1"/>
    <col min="792" max="792" width="15.85546875" style="12" hidden="1"/>
    <col min="793" max="793" width="13.42578125" style="12" hidden="1"/>
    <col min="794" max="794" width="12.85546875" style="12" hidden="1"/>
    <col min="795" max="795" width="13.42578125" style="12" hidden="1"/>
    <col min="796" max="796" width="16" style="12" hidden="1"/>
    <col min="797" max="797" width="12.28515625" style="12" hidden="1"/>
    <col min="798" max="798" width="17.28515625" style="12" hidden="1"/>
    <col min="799" max="799" width="16.28515625" style="12" hidden="1"/>
    <col min="800" max="800" width="22.5703125" style="12" hidden="1"/>
    <col min="801" max="801" width="21.140625" style="12" hidden="1"/>
    <col min="802" max="802" width="23.42578125" style="12" hidden="1"/>
    <col min="803" max="1024" width="10.85546875" style="12" hidden="1"/>
    <col min="1025" max="1025" width="19.7109375" style="12" hidden="1"/>
    <col min="1026" max="1026" width="19.42578125" style="12" hidden="1"/>
    <col min="1027" max="1027" width="10.42578125" style="12" hidden="1"/>
    <col min="1028" max="1028" width="16.42578125" style="12" hidden="1"/>
    <col min="1029" max="1029" width="27.28515625" style="12" hidden="1"/>
    <col min="1030" max="1030" width="10.140625" style="12" hidden="1"/>
    <col min="1031" max="1031" width="18.140625" style="12" hidden="1"/>
    <col min="1032" max="1032" width="21" style="12" hidden="1"/>
    <col min="1033" max="1033" width="23.7109375" style="12" hidden="1"/>
    <col min="1034" max="1034" width="10.7109375" style="12" hidden="1"/>
    <col min="1035" max="1035" width="25.42578125" style="12" hidden="1"/>
    <col min="1036" max="1036" width="12.42578125" style="12" hidden="1"/>
    <col min="1037" max="1037" width="13.42578125" style="12" hidden="1"/>
    <col min="1038" max="1038" width="10.28515625" style="12" hidden="1"/>
    <col min="1039" max="1047" width="15.42578125" style="12" hidden="1"/>
    <col min="1048" max="1048" width="15.85546875" style="12" hidden="1"/>
    <col min="1049" max="1049" width="13.42578125" style="12" hidden="1"/>
    <col min="1050" max="1050" width="12.85546875" style="12" hidden="1"/>
    <col min="1051" max="1051" width="13.42578125" style="12" hidden="1"/>
    <col min="1052" max="1052" width="16" style="12" hidden="1"/>
    <col min="1053" max="1053" width="12.28515625" style="12" hidden="1"/>
    <col min="1054" max="1054" width="17.28515625" style="12" hidden="1"/>
    <col min="1055" max="1055" width="16.28515625" style="12" hidden="1"/>
    <col min="1056" max="1056" width="22.5703125" style="12" hidden="1"/>
    <col min="1057" max="1057" width="21.140625" style="12" hidden="1"/>
    <col min="1058" max="1058" width="23.42578125" style="12" hidden="1"/>
    <col min="1059" max="1280" width="10.85546875" style="12" hidden="1"/>
    <col min="1281" max="1281" width="19.7109375" style="12" hidden="1"/>
    <col min="1282" max="1282" width="19.42578125" style="12" hidden="1"/>
    <col min="1283" max="1283" width="10.42578125" style="12" hidden="1"/>
    <col min="1284" max="1284" width="16.42578125" style="12" hidden="1"/>
    <col min="1285" max="1285" width="27.28515625" style="12" hidden="1"/>
    <col min="1286" max="1286" width="10.140625" style="12" hidden="1"/>
    <col min="1287" max="1287" width="18.140625" style="12" hidden="1"/>
    <col min="1288" max="1288" width="21" style="12" hidden="1"/>
    <col min="1289" max="1289" width="23.7109375" style="12" hidden="1"/>
    <col min="1290" max="1290" width="10.7109375" style="12" hidden="1"/>
    <col min="1291" max="1291" width="25.42578125" style="12" hidden="1"/>
    <col min="1292" max="1292" width="12.42578125" style="12" hidden="1"/>
    <col min="1293" max="1293" width="13.42578125" style="12" hidden="1"/>
    <col min="1294" max="1294" width="10.28515625" style="12" hidden="1"/>
    <col min="1295" max="1303" width="15.42578125" style="12" hidden="1"/>
    <col min="1304" max="1304" width="15.85546875" style="12" hidden="1"/>
    <col min="1305" max="1305" width="13.42578125" style="12" hidden="1"/>
    <col min="1306" max="1306" width="12.85546875" style="12" hidden="1"/>
    <col min="1307" max="1307" width="13.42578125" style="12" hidden="1"/>
    <col min="1308" max="1308" width="16" style="12" hidden="1"/>
    <col min="1309" max="1309" width="12.28515625" style="12" hidden="1"/>
    <col min="1310" max="1310" width="17.28515625" style="12" hidden="1"/>
    <col min="1311" max="1311" width="16.28515625" style="12" hidden="1"/>
    <col min="1312" max="1312" width="22.5703125" style="12" hidden="1"/>
    <col min="1313" max="1313" width="21.140625" style="12" hidden="1"/>
    <col min="1314" max="1314" width="23.42578125" style="12" hidden="1"/>
    <col min="1315" max="1536" width="10.85546875" style="12" hidden="1"/>
    <col min="1537" max="1537" width="19.7109375" style="12" hidden="1"/>
    <col min="1538" max="1538" width="19.42578125" style="12" hidden="1"/>
    <col min="1539" max="1539" width="10.42578125" style="12" hidden="1"/>
    <col min="1540" max="1540" width="16.42578125" style="12" hidden="1"/>
    <col min="1541" max="1541" width="27.28515625" style="12" hidden="1"/>
    <col min="1542" max="1542" width="10.140625" style="12" hidden="1"/>
    <col min="1543" max="1543" width="18.140625" style="12" hidden="1"/>
    <col min="1544" max="1544" width="21" style="12" hidden="1"/>
    <col min="1545" max="1545" width="23.7109375" style="12" hidden="1"/>
    <col min="1546" max="1546" width="10.7109375" style="12" hidden="1"/>
    <col min="1547" max="1547" width="25.42578125" style="12" hidden="1"/>
    <col min="1548" max="1548" width="12.42578125" style="12" hidden="1"/>
    <col min="1549" max="1549" width="13.42578125" style="12" hidden="1"/>
    <col min="1550" max="1550" width="10.28515625" style="12" hidden="1"/>
    <col min="1551" max="1559" width="15.42578125" style="12" hidden="1"/>
    <col min="1560" max="1560" width="15.85546875" style="12" hidden="1"/>
    <col min="1561" max="1561" width="13.42578125" style="12" hidden="1"/>
    <col min="1562" max="1562" width="12.85546875" style="12" hidden="1"/>
    <col min="1563" max="1563" width="13.42578125" style="12" hidden="1"/>
    <col min="1564" max="1564" width="16" style="12" hidden="1"/>
    <col min="1565" max="1565" width="12.28515625" style="12" hidden="1"/>
    <col min="1566" max="1566" width="17.28515625" style="12" hidden="1"/>
    <col min="1567" max="1567" width="16.28515625" style="12" hidden="1"/>
    <col min="1568" max="1568" width="22.5703125" style="12" hidden="1"/>
    <col min="1569" max="1569" width="21.140625" style="12" hidden="1"/>
    <col min="1570" max="1570" width="23.42578125" style="12" hidden="1"/>
    <col min="1571" max="1792" width="10.85546875" style="12" hidden="1"/>
    <col min="1793" max="1793" width="19.7109375" style="12" hidden="1"/>
    <col min="1794" max="1794" width="19.42578125" style="12" hidden="1"/>
    <col min="1795" max="1795" width="10.42578125" style="12" hidden="1"/>
    <col min="1796" max="1796" width="16.42578125" style="12" hidden="1"/>
    <col min="1797" max="1797" width="27.28515625" style="12" hidden="1"/>
    <col min="1798" max="1798" width="10.140625" style="12" hidden="1"/>
    <col min="1799" max="1799" width="18.140625" style="12" hidden="1"/>
    <col min="1800" max="1800" width="21" style="12" hidden="1"/>
    <col min="1801" max="1801" width="23.7109375" style="12" hidden="1"/>
    <col min="1802" max="1802" width="10.7109375" style="12" hidden="1"/>
    <col min="1803" max="1803" width="25.42578125" style="12" hidden="1"/>
    <col min="1804" max="1804" width="12.42578125" style="12" hidden="1"/>
    <col min="1805" max="1805" width="13.42578125" style="12" hidden="1"/>
    <col min="1806" max="1806" width="10.28515625" style="12" hidden="1"/>
    <col min="1807" max="1815" width="15.42578125" style="12" hidden="1"/>
    <col min="1816" max="1816" width="15.85546875" style="12" hidden="1"/>
    <col min="1817" max="1817" width="13.42578125" style="12" hidden="1"/>
    <col min="1818" max="1818" width="12.85546875" style="12" hidden="1"/>
    <col min="1819" max="1819" width="13.42578125" style="12" hidden="1"/>
    <col min="1820" max="1820" width="16" style="12" hidden="1"/>
    <col min="1821" max="1821" width="12.28515625" style="12" hidden="1"/>
    <col min="1822" max="1822" width="17.28515625" style="12" hidden="1"/>
    <col min="1823" max="1823" width="16.28515625" style="12" hidden="1"/>
    <col min="1824" max="1824" width="22.5703125" style="12" hidden="1"/>
    <col min="1825" max="1825" width="21.140625" style="12" hidden="1"/>
    <col min="1826" max="1826" width="23.42578125" style="12" hidden="1"/>
    <col min="1827" max="2048" width="10.85546875" style="12" hidden="1"/>
    <col min="2049" max="2049" width="19.7109375" style="12" hidden="1"/>
    <col min="2050" max="2050" width="19.42578125" style="12" hidden="1"/>
    <col min="2051" max="2051" width="10.42578125" style="12" hidden="1"/>
    <col min="2052" max="2052" width="16.42578125" style="12" hidden="1"/>
    <col min="2053" max="2053" width="27.28515625" style="12" hidden="1"/>
    <col min="2054" max="2054" width="10.140625" style="12" hidden="1"/>
    <col min="2055" max="2055" width="18.140625" style="12" hidden="1"/>
    <col min="2056" max="2056" width="21" style="12" hidden="1"/>
    <col min="2057" max="2057" width="23.7109375" style="12" hidden="1"/>
    <col min="2058" max="2058" width="10.7109375" style="12" hidden="1"/>
    <col min="2059" max="2059" width="25.42578125" style="12" hidden="1"/>
    <col min="2060" max="2060" width="12.42578125" style="12" hidden="1"/>
    <col min="2061" max="2061" width="13.42578125" style="12" hidden="1"/>
    <col min="2062" max="2062" width="10.28515625" style="12" hidden="1"/>
    <col min="2063" max="2071" width="15.42578125" style="12" hidden="1"/>
    <col min="2072" max="2072" width="15.85546875" style="12" hidden="1"/>
    <col min="2073" max="2073" width="13.42578125" style="12" hidden="1"/>
    <col min="2074" max="2074" width="12.85546875" style="12" hidden="1"/>
    <col min="2075" max="2075" width="13.42578125" style="12" hidden="1"/>
    <col min="2076" max="2076" width="16" style="12" hidden="1"/>
    <col min="2077" max="2077" width="12.28515625" style="12" hidden="1"/>
    <col min="2078" max="2078" width="17.28515625" style="12" hidden="1"/>
    <col min="2079" max="2079" width="16.28515625" style="12" hidden="1"/>
    <col min="2080" max="2080" width="22.5703125" style="12" hidden="1"/>
    <col min="2081" max="2081" width="21.140625" style="12" hidden="1"/>
    <col min="2082" max="2082" width="23.42578125" style="12" hidden="1"/>
    <col min="2083" max="2304" width="10.85546875" style="12" hidden="1"/>
    <col min="2305" max="2305" width="19.7109375" style="12" hidden="1"/>
    <col min="2306" max="2306" width="19.42578125" style="12" hidden="1"/>
    <col min="2307" max="2307" width="10.42578125" style="12" hidden="1"/>
    <col min="2308" max="2308" width="16.42578125" style="12" hidden="1"/>
    <col min="2309" max="2309" width="27.28515625" style="12" hidden="1"/>
    <col min="2310" max="2310" width="10.140625" style="12" hidden="1"/>
    <col min="2311" max="2311" width="18.140625" style="12" hidden="1"/>
    <col min="2312" max="2312" width="21" style="12" hidden="1"/>
    <col min="2313" max="2313" width="23.7109375" style="12" hidden="1"/>
    <col min="2314" max="2314" width="10.7109375" style="12" hidden="1"/>
    <col min="2315" max="2315" width="25.42578125" style="12" hidden="1"/>
    <col min="2316" max="2316" width="12.42578125" style="12" hidden="1"/>
    <col min="2317" max="2317" width="13.42578125" style="12" hidden="1"/>
    <col min="2318" max="2318" width="10.28515625" style="12" hidden="1"/>
    <col min="2319" max="2327" width="15.42578125" style="12" hidden="1"/>
    <col min="2328" max="2328" width="15.85546875" style="12" hidden="1"/>
    <col min="2329" max="2329" width="13.42578125" style="12" hidden="1"/>
    <col min="2330" max="2330" width="12.85546875" style="12" hidden="1"/>
    <col min="2331" max="2331" width="13.42578125" style="12" hidden="1"/>
    <col min="2332" max="2332" width="16" style="12" hidden="1"/>
    <col min="2333" max="2333" width="12.28515625" style="12" hidden="1"/>
    <col min="2334" max="2334" width="17.28515625" style="12" hidden="1"/>
    <col min="2335" max="2335" width="16.28515625" style="12" hidden="1"/>
    <col min="2336" max="2336" width="22.5703125" style="12" hidden="1"/>
    <col min="2337" max="2337" width="21.140625" style="12" hidden="1"/>
    <col min="2338" max="2338" width="23.42578125" style="12" hidden="1"/>
    <col min="2339" max="2560" width="10.85546875" style="12" hidden="1"/>
    <col min="2561" max="2561" width="19.7109375" style="12" hidden="1"/>
    <col min="2562" max="2562" width="19.42578125" style="12" hidden="1"/>
    <col min="2563" max="2563" width="10.42578125" style="12" hidden="1"/>
    <col min="2564" max="2564" width="16.42578125" style="12" hidden="1"/>
    <col min="2565" max="2565" width="27.28515625" style="12" hidden="1"/>
    <col min="2566" max="2566" width="10.140625" style="12" hidden="1"/>
    <col min="2567" max="2567" width="18.140625" style="12" hidden="1"/>
    <col min="2568" max="2568" width="21" style="12" hidden="1"/>
    <col min="2569" max="2569" width="23.7109375" style="12" hidden="1"/>
    <col min="2570" max="2570" width="10.7109375" style="12" hidden="1"/>
    <col min="2571" max="2571" width="25.42578125" style="12" hidden="1"/>
    <col min="2572" max="2572" width="12.42578125" style="12" hidden="1"/>
    <col min="2573" max="2573" width="13.42578125" style="12" hidden="1"/>
    <col min="2574" max="2574" width="10.28515625" style="12" hidden="1"/>
    <col min="2575" max="2583" width="15.42578125" style="12" hidden="1"/>
    <col min="2584" max="2584" width="15.85546875" style="12" hidden="1"/>
    <col min="2585" max="2585" width="13.42578125" style="12" hidden="1"/>
    <col min="2586" max="2586" width="12.85546875" style="12" hidden="1"/>
    <col min="2587" max="2587" width="13.42578125" style="12" hidden="1"/>
    <col min="2588" max="2588" width="16" style="12" hidden="1"/>
    <col min="2589" max="2589" width="12.28515625" style="12" hidden="1"/>
    <col min="2590" max="2590" width="17.28515625" style="12" hidden="1"/>
    <col min="2591" max="2591" width="16.28515625" style="12" hidden="1"/>
    <col min="2592" max="2592" width="22.5703125" style="12" hidden="1"/>
    <col min="2593" max="2593" width="21.140625" style="12" hidden="1"/>
    <col min="2594" max="2594" width="23.42578125" style="12" hidden="1"/>
    <col min="2595" max="2816" width="10.85546875" style="12" hidden="1"/>
    <col min="2817" max="2817" width="19.7109375" style="12" hidden="1"/>
    <col min="2818" max="2818" width="19.42578125" style="12" hidden="1"/>
    <col min="2819" max="2819" width="10.42578125" style="12" hidden="1"/>
    <col min="2820" max="2820" width="16.42578125" style="12" hidden="1"/>
    <col min="2821" max="2821" width="27.28515625" style="12" hidden="1"/>
    <col min="2822" max="2822" width="10.140625" style="12" hidden="1"/>
    <col min="2823" max="2823" width="18.140625" style="12" hidden="1"/>
    <col min="2824" max="2824" width="21" style="12" hidden="1"/>
    <col min="2825" max="2825" width="23.7109375" style="12" hidden="1"/>
    <col min="2826" max="2826" width="10.7109375" style="12" hidden="1"/>
    <col min="2827" max="2827" width="25.42578125" style="12" hidden="1"/>
    <col min="2828" max="2828" width="12.42578125" style="12" hidden="1"/>
    <col min="2829" max="2829" width="13.42578125" style="12" hidden="1"/>
    <col min="2830" max="2830" width="10.28515625" style="12" hidden="1"/>
    <col min="2831" max="2839" width="15.42578125" style="12" hidden="1"/>
    <col min="2840" max="2840" width="15.85546875" style="12" hidden="1"/>
    <col min="2841" max="2841" width="13.42578125" style="12" hidden="1"/>
    <col min="2842" max="2842" width="12.85546875" style="12" hidden="1"/>
    <col min="2843" max="2843" width="13.42578125" style="12" hidden="1"/>
    <col min="2844" max="2844" width="16" style="12" hidden="1"/>
    <col min="2845" max="2845" width="12.28515625" style="12" hidden="1"/>
    <col min="2846" max="2846" width="17.28515625" style="12" hidden="1"/>
    <col min="2847" max="2847" width="16.28515625" style="12" hidden="1"/>
    <col min="2848" max="2848" width="22.5703125" style="12" hidden="1"/>
    <col min="2849" max="2849" width="21.140625" style="12" hidden="1"/>
    <col min="2850" max="2850" width="23.42578125" style="12" hidden="1"/>
    <col min="2851" max="3072" width="10.85546875" style="12" hidden="1"/>
    <col min="3073" max="3073" width="19.7109375" style="12" hidden="1"/>
    <col min="3074" max="3074" width="19.42578125" style="12" hidden="1"/>
    <col min="3075" max="3075" width="10.42578125" style="12" hidden="1"/>
    <col min="3076" max="3076" width="16.42578125" style="12" hidden="1"/>
    <col min="3077" max="3077" width="27.28515625" style="12" hidden="1"/>
    <col min="3078" max="3078" width="10.140625" style="12" hidden="1"/>
    <col min="3079" max="3079" width="18.140625" style="12" hidden="1"/>
    <col min="3080" max="3080" width="21" style="12" hidden="1"/>
    <col min="3081" max="3081" width="23.7109375" style="12" hidden="1"/>
    <col min="3082" max="3082" width="10.7109375" style="12" hidden="1"/>
    <col min="3083" max="3083" width="25.42578125" style="12" hidden="1"/>
    <col min="3084" max="3084" width="12.42578125" style="12" hidden="1"/>
    <col min="3085" max="3085" width="13.42578125" style="12" hidden="1"/>
    <col min="3086" max="3086" width="10.28515625" style="12" hidden="1"/>
    <col min="3087" max="3095" width="15.42578125" style="12" hidden="1"/>
    <col min="3096" max="3096" width="15.85546875" style="12" hidden="1"/>
    <col min="3097" max="3097" width="13.42578125" style="12" hidden="1"/>
    <col min="3098" max="3098" width="12.85546875" style="12" hidden="1"/>
    <col min="3099" max="3099" width="13.42578125" style="12" hidden="1"/>
    <col min="3100" max="3100" width="16" style="12" hidden="1"/>
    <col min="3101" max="3101" width="12.28515625" style="12" hidden="1"/>
    <col min="3102" max="3102" width="17.28515625" style="12" hidden="1"/>
    <col min="3103" max="3103" width="16.28515625" style="12" hidden="1"/>
    <col min="3104" max="3104" width="22.5703125" style="12" hidden="1"/>
    <col min="3105" max="3105" width="21.140625" style="12" hidden="1"/>
    <col min="3106" max="3106" width="23.42578125" style="12" hidden="1"/>
    <col min="3107" max="3328" width="10.85546875" style="12" hidden="1"/>
    <col min="3329" max="3329" width="19.7109375" style="12" hidden="1"/>
    <col min="3330" max="3330" width="19.42578125" style="12" hidden="1"/>
    <col min="3331" max="3331" width="10.42578125" style="12" hidden="1"/>
    <col min="3332" max="3332" width="16.42578125" style="12" hidden="1"/>
    <col min="3333" max="3333" width="27.28515625" style="12" hidden="1"/>
    <col min="3334" max="3334" width="10.140625" style="12" hidden="1"/>
    <col min="3335" max="3335" width="18.140625" style="12" hidden="1"/>
    <col min="3336" max="3336" width="21" style="12" hidden="1"/>
    <col min="3337" max="3337" width="23.7109375" style="12" hidden="1"/>
    <col min="3338" max="3338" width="10.7109375" style="12" hidden="1"/>
    <col min="3339" max="3339" width="25.42578125" style="12" hidden="1"/>
    <col min="3340" max="3340" width="12.42578125" style="12" hidden="1"/>
    <col min="3341" max="3341" width="13.42578125" style="12" hidden="1"/>
    <col min="3342" max="3342" width="10.28515625" style="12" hidden="1"/>
    <col min="3343" max="3351" width="15.42578125" style="12" hidden="1"/>
    <col min="3352" max="3352" width="15.85546875" style="12" hidden="1"/>
    <col min="3353" max="3353" width="13.42578125" style="12" hidden="1"/>
    <col min="3354" max="3354" width="12.85546875" style="12" hidden="1"/>
    <col min="3355" max="3355" width="13.42578125" style="12" hidden="1"/>
    <col min="3356" max="3356" width="16" style="12" hidden="1"/>
    <col min="3357" max="3357" width="12.28515625" style="12" hidden="1"/>
    <col min="3358" max="3358" width="17.28515625" style="12" hidden="1"/>
    <col min="3359" max="3359" width="16.28515625" style="12" hidden="1"/>
    <col min="3360" max="3360" width="22.5703125" style="12" hidden="1"/>
    <col min="3361" max="3361" width="21.140625" style="12" hidden="1"/>
    <col min="3362" max="3362" width="23.42578125" style="12" hidden="1"/>
    <col min="3363" max="3584" width="10.85546875" style="12" hidden="1"/>
    <col min="3585" max="3585" width="19.7109375" style="12" hidden="1"/>
    <col min="3586" max="3586" width="19.42578125" style="12" hidden="1"/>
    <col min="3587" max="3587" width="10.42578125" style="12" hidden="1"/>
    <col min="3588" max="3588" width="16.42578125" style="12" hidden="1"/>
    <col min="3589" max="3589" width="27.28515625" style="12" hidden="1"/>
    <col min="3590" max="3590" width="10.140625" style="12" hidden="1"/>
    <col min="3591" max="3591" width="18.140625" style="12" hidden="1"/>
    <col min="3592" max="3592" width="21" style="12" hidden="1"/>
    <col min="3593" max="3593" width="23.7109375" style="12" hidden="1"/>
    <col min="3594" max="3594" width="10.7109375" style="12" hidden="1"/>
    <col min="3595" max="3595" width="25.42578125" style="12" hidden="1"/>
    <col min="3596" max="3596" width="12.42578125" style="12" hidden="1"/>
    <col min="3597" max="3597" width="13.42578125" style="12" hidden="1"/>
    <col min="3598" max="3598" width="10.28515625" style="12" hidden="1"/>
    <col min="3599" max="3607" width="15.42578125" style="12" hidden="1"/>
    <col min="3608" max="3608" width="15.85546875" style="12" hidden="1"/>
    <col min="3609" max="3609" width="13.42578125" style="12" hidden="1"/>
    <col min="3610" max="3610" width="12.85546875" style="12" hidden="1"/>
    <col min="3611" max="3611" width="13.42578125" style="12" hidden="1"/>
    <col min="3612" max="3612" width="16" style="12" hidden="1"/>
    <col min="3613" max="3613" width="12.28515625" style="12" hidden="1"/>
    <col min="3614" max="3614" width="17.28515625" style="12" hidden="1"/>
    <col min="3615" max="3615" width="16.28515625" style="12" hidden="1"/>
    <col min="3616" max="3616" width="22.5703125" style="12" hidden="1"/>
    <col min="3617" max="3617" width="21.140625" style="12" hidden="1"/>
    <col min="3618" max="3618" width="23.42578125" style="12" hidden="1"/>
    <col min="3619" max="3840" width="10.85546875" style="12" hidden="1"/>
    <col min="3841" max="3841" width="19.7109375" style="12" hidden="1"/>
    <col min="3842" max="3842" width="19.42578125" style="12" hidden="1"/>
    <col min="3843" max="3843" width="10.42578125" style="12" hidden="1"/>
    <col min="3844" max="3844" width="16.42578125" style="12" hidden="1"/>
    <col min="3845" max="3845" width="27.28515625" style="12" hidden="1"/>
    <col min="3846" max="3846" width="10.140625" style="12" hidden="1"/>
    <col min="3847" max="3847" width="18.140625" style="12" hidden="1"/>
    <col min="3848" max="3848" width="21" style="12" hidden="1"/>
    <col min="3849" max="3849" width="23.7109375" style="12" hidden="1"/>
    <col min="3850" max="3850" width="10.7109375" style="12" hidden="1"/>
    <col min="3851" max="3851" width="25.42578125" style="12" hidden="1"/>
    <col min="3852" max="3852" width="12.42578125" style="12" hidden="1"/>
    <col min="3853" max="3853" width="13.42578125" style="12" hidden="1"/>
    <col min="3854" max="3854" width="10.28515625" style="12" hidden="1"/>
    <col min="3855" max="3863" width="15.42578125" style="12" hidden="1"/>
    <col min="3864" max="3864" width="15.85546875" style="12" hidden="1"/>
    <col min="3865" max="3865" width="13.42578125" style="12" hidden="1"/>
    <col min="3866" max="3866" width="12.85546875" style="12" hidden="1"/>
    <col min="3867" max="3867" width="13.42578125" style="12" hidden="1"/>
    <col min="3868" max="3868" width="16" style="12" hidden="1"/>
    <col min="3869" max="3869" width="12.28515625" style="12" hidden="1"/>
    <col min="3870" max="3870" width="17.28515625" style="12" hidden="1"/>
    <col min="3871" max="3871" width="16.28515625" style="12" hidden="1"/>
    <col min="3872" max="3872" width="22.5703125" style="12" hidden="1"/>
    <col min="3873" max="3873" width="21.140625" style="12" hidden="1"/>
    <col min="3874" max="3874" width="23.42578125" style="12" hidden="1"/>
    <col min="3875" max="4096" width="10.85546875" style="12" hidden="1"/>
    <col min="4097" max="4097" width="19.7109375" style="12" hidden="1"/>
    <col min="4098" max="4098" width="19.42578125" style="12" hidden="1"/>
    <col min="4099" max="4099" width="10.42578125" style="12" hidden="1"/>
    <col min="4100" max="4100" width="16.42578125" style="12" hidden="1"/>
    <col min="4101" max="4101" width="27.28515625" style="12" hidden="1"/>
    <col min="4102" max="4102" width="10.140625" style="12" hidden="1"/>
    <col min="4103" max="4103" width="18.140625" style="12" hidden="1"/>
    <col min="4104" max="4104" width="21" style="12" hidden="1"/>
    <col min="4105" max="4105" width="23.7109375" style="12" hidden="1"/>
    <col min="4106" max="4106" width="10.7109375" style="12" hidden="1"/>
    <col min="4107" max="4107" width="25.42578125" style="12" hidden="1"/>
    <col min="4108" max="4108" width="12.42578125" style="12" hidden="1"/>
    <col min="4109" max="4109" width="13.42578125" style="12" hidden="1"/>
    <col min="4110" max="4110" width="10.28515625" style="12" hidden="1"/>
    <col min="4111" max="4119" width="15.42578125" style="12" hidden="1"/>
    <col min="4120" max="4120" width="15.85546875" style="12" hidden="1"/>
    <col min="4121" max="4121" width="13.42578125" style="12" hidden="1"/>
    <col min="4122" max="4122" width="12.85546875" style="12" hidden="1"/>
    <col min="4123" max="4123" width="13.42578125" style="12" hidden="1"/>
    <col min="4124" max="4124" width="16" style="12" hidden="1"/>
    <col min="4125" max="4125" width="12.28515625" style="12" hidden="1"/>
    <col min="4126" max="4126" width="17.28515625" style="12" hidden="1"/>
    <col min="4127" max="4127" width="16.28515625" style="12" hidden="1"/>
    <col min="4128" max="4128" width="22.5703125" style="12" hidden="1"/>
    <col min="4129" max="4129" width="21.140625" style="12" hidden="1"/>
    <col min="4130" max="4130" width="23.42578125" style="12" hidden="1"/>
    <col min="4131" max="4352" width="10.85546875" style="12" hidden="1"/>
    <col min="4353" max="4353" width="19.7109375" style="12" hidden="1"/>
    <col min="4354" max="4354" width="19.42578125" style="12" hidden="1"/>
    <col min="4355" max="4355" width="10.42578125" style="12" hidden="1"/>
    <col min="4356" max="4356" width="16.42578125" style="12" hidden="1"/>
    <col min="4357" max="4357" width="27.28515625" style="12" hidden="1"/>
    <col min="4358" max="4358" width="10.140625" style="12" hidden="1"/>
    <col min="4359" max="4359" width="18.140625" style="12" hidden="1"/>
    <col min="4360" max="4360" width="21" style="12" hidden="1"/>
    <col min="4361" max="4361" width="23.7109375" style="12" hidden="1"/>
    <col min="4362" max="4362" width="10.7109375" style="12" hidden="1"/>
    <col min="4363" max="4363" width="25.42578125" style="12" hidden="1"/>
    <col min="4364" max="4364" width="12.42578125" style="12" hidden="1"/>
    <col min="4365" max="4365" width="13.42578125" style="12" hidden="1"/>
    <col min="4366" max="4366" width="10.28515625" style="12" hidden="1"/>
    <col min="4367" max="4375" width="15.42578125" style="12" hidden="1"/>
    <col min="4376" max="4376" width="15.85546875" style="12" hidden="1"/>
    <col min="4377" max="4377" width="13.42578125" style="12" hidden="1"/>
    <col min="4378" max="4378" width="12.85546875" style="12" hidden="1"/>
    <col min="4379" max="4379" width="13.42578125" style="12" hidden="1"/>
    <col min="4380" max="4380" width="16" style="12" hidden="1"/>
    <col min="4381" max="4381" width="12.28515625" style="12" hidden="1"/>
    <col min="4382" max="4382" width="17.28515625" style="12" hidden="1"/>
    <col min="4383" max="4383" width="16.28515625" style="12" hidden="1"/>
    <col min="4384" max="4384" width="22.5703125" style="12" hidden="1"/>
    <col min="4385" max="4385" width="21.140625" style="12" hidden="1"/>
    <col min="4386" max="4386" width="23.42578125" style="12" hidden="1"/>
    <col min="4387" max="4608" width="10.85546875" style="12" hidden="1"/>
    <col min="4609" max="4609" width="19.7109375" style="12" hidden="1"/>
    <col min="4610" max="4610" width="19.42578125" style="12" hidden="1"/>
    <col min="4611" max="4611" width="10.42578125" style="12" hidden="1"/>
    <col min="4612" max="4612" width="16.42578125" style="12" hidden="1"/>
    <col min="4613" max="4613" width="27.28515625" style="12" hidden="1"/>
    <col min="4614" max="4614" width="10.140625" style="12" hidden="1"/>
    <col min="4615" max="4615" width="18.140625" style="12" hidden="1"/>
    <col min="4616" max="4616" width="21" style="12" hidden="1"/>
    <col min="4617" max="4617" width="23.7109375" style="12" hidden="1"/>
    <col min="4618" max="4618" width="10.7109375" style="12" hidden="1"/>
    <col min="4619" max="4619" width="25.42578125" style="12" hidden="1"/>
    <col min="4620" max="4620" width="12.42578125" style="12" hidden="1"/>
    <col min="4621" max="4621" width="13.42578125" style="12" hidden="1"/>
    <col min="4622" max="4622" width="10.28515625" style="12" hidden="1"/>
    <col min="4623" max="4631" width="15.42578125" style="12" hidden="1"/>
    <col min="4632" max="4632" width="15.85546875" style="12" hidden="1"/>
    <col min="4633" max="4633" width="13.42578125" style="12" hidden="1"/>
    <col min="4634" max="4634" width="12.85546875" style="12" hidden="1"/>
    <col min="4635" max="4635" width="13.42578125" style="12" hidden="1"/>
    <col min="4636" max="4636" width="16" style="12" hidden="1"/>
    <col min="4637" max="4637" width="12.28515625" style="12" hidden="1"/>
    <col min="4638" max="4638" width="17.28515625" style="12" hidden="1"/>
    <col min="4639" max="4639" width="16.28515625" style="12" hidden="1"/>
    <col min="4640" max="4640" width="22.5703125" style="12" hidden="1"/>
    <col min="4641" max="4641" width="21.140625" style="12" hidden="1"/>
    <col min="4642" max="4642" width="23.42578125" style="12" hidden="1"/>
    <col min="4643" max="4864" width="10.85546875" style="12" hidden="1"/>
    <col min="4865" max="4865" width="19.7109375" style="12" hidden="1"/>
    <col min="4866" max="4866" width="19.42578125" style="12" hidden="1"/>
    <col min="4867" max="4867" width="10.42578125" style="12" hidden="1"/>
    <col min="4868" max="4868" width="16.42578125" style="12" hidden="1"/>
    <col min="4869" max="4869" width="27.28515625" style="12" hidden="1"/>
    <col min="4870" max="4870" width="10.140625" style="12" hidden="1"/>
    <col min="4871" max="4871" width="18.140625" style="12" hidden="1"/>
    <col min="4872" max="4872" width="21" style="12" hidden="1"/>
    <col min="4873" max="4873" width="23.7109375" style="12" hidden="1"/>
    <col min="4874" max="4874" width="10.7109375" style="12" hidden="1"/>
    <col min="4875" max="4875" width="25.42578125" style="12" hidden="1"/>
    <col min="4876" max="4876" width="12.42578125" style="12" hidden="1"/>
    <col min="4877" max="4877" width="13.42578125" style="12" hidden="1"/>
    <col min="4878" max="4878" width="10.28515625" style="12" hidden="1"/>
    <col min="4879" max="4887" width="15.42578125" style="12" hidden="1"/>
    <col min="4888" max="4888" width="15.85546875" style="12" hidden="1"/>
    <col min="4889" max="4889" width="13.42578125" style="12" hidden="1"/>
    <col min="4890" max="4890" width="12.85546875" style="12" hidden="1"/>
    <col min="4891" max="4891" width="13.42578125" style="12" hidden="1"/>
    <col min="4892" max="4892" width="16" style="12" hidden="1"/>
    <col min="4893" max="4893" width="12.28515625" style="12" hidden="1"/>
    <col min="4894" max="4894" width="17.28515625" style="12" hidden="1"/>
    <col min="4895" max="4895" width="16.28515625" style="12" hidden="1"/>
    <col min="4896" max="4896" width="22.5703125" style="12" hidden="1"/>
    <col min="4897" max="4897" width="21.140625" style="12" hidden="1"/>
    <col min="4898" max="4898" width="23.42578125" style="12" hidden="1"/>
    <col min="4899" max="5120" width="10.85546875" style="12" hidden="1"/>
    <col min="5121" max="5121" width="19.7109375" style="12" hidden="1"/>
    <col min="5122" max="5122" width="19.42578125" style="12" hidden="1"/>
    <col min="5123" max="5123" width="10.42578125" style="12" hidden="1"/>
    <col min="5124" max="5124" width="16.42578125" style="12" hidden="1"/>
    <col min="5125" max="5125" width="27.28515625" style="12" hidden="1"/>
    <col min="5126" max="5126" width="10.140625" style="12" hidden="1"/>
    <col min="5127" max="5127" width="18.140625" style="12" hidden="1"/>
    <col min="5128" max="5128" width="21" style="12" hidden="1"/>
    <col min="5129" max="5129" width="23.7109375" style="12" hidden="1"/>
    <col min="5130" max="5130" width="10.7109375" style="12" hidden="1"/>
    <col min="5131" max="5131" width="25.42578125" style="12" hidden="1"/>
    <col min="5132" max="5132" width="12.42578125" style="12" hidden="1"/>
    <col min="5133" max="5133" width="13.42578125" style="12" hidden="1"/>
    <col min="5134" max="5134" width="10.28515625" style="12" hidden="1"/>
    <col min="5135" max="5143" width="15.42578125" style="12" hidden="1"/>
    <col min="5144" max="5144" width="15.85546875" style="12" hidden="1"/>
    <col min="5145" max="5145" width="13.42578125" style="12" hidden="1"/>
    <col min="5146" max="5146" width="12.85546875" style="12" hidden="1"/>
    <col min="5147" max="5147" width="13.42578125" style="12" hidden="1"/>
    <col min="5148" max="5148" width="16" style="12" hidden="1"/>
    <col min="5149" max="5149" width="12.28515625" style="12" hidden="1"/>
    <col min="5150" max="5150" width="17.28515625" style="12" hidden="1"/>
    <col min="5151" max="5151" width="16.28515625" style="12" hidden="1"/>
    <col min="5152" max="5152" width="22.5703125" style="12" hidden="1"/>
    <col min="5153" max="5153" width="21.140625" style="12" hidden="1"/>
    <col min="5154" max="5154" width="23.42578125" style="12" hidden="1"/>
    <col min="5155" max="5376" width="10.85546875" style="12" hidden="1"/>
    <col min="5377" max="5377" width="19.7109375" style="12" hidden="1"/>
    <col min="5378" max="5378" width="19.42578125" style="12" hidden="1"/>
    <col min="5379" max="5379" width="10.42578125" style="12" hidden="1"/>
    <col min="5380" max="5380" width="16.42578125" style="12" hidden="1"/>
    <col min="5381" max="5381" width="27.28515625" style="12" hidden="1"/>
    <col min="5382" max="5382" width="10.140625" style="12" hidden="1"/>
    <col min="5383" max="5383" width="18.140625" style="12" hidden="1"/>
    <col min="5384" max="5384" width="21" style="12" hidden="1"/>
    <col min="5385" max="5385" width="23.7109375" style="12" hidden="1"/>
    <col min="5386" max="5386" width="10.7109375" style="12" hidden="1"/>
    <col min="5387" max="5387" width="25.42578125" style="12" hidden="1"/>
    <col min="5388" max="5388" width="12.42578125" style="12" hidden="1"/>
    <col min="5389" max="5389" width="13.42578125" style="12" hidden="1"/>
    <col min="5390" max="5390" width="10.28515625" style="12" hidden="1"/>
    <col min="5391" max="5399" width="15.42578125" style="12" hidden="1"/>
    <col min="5400" max="5400" width="15.85546875" style="12" hidden="1"/>
    <col min="5401" max="5401" width="13.42578125" style="12" hidden="1"/>
    <col min="5402" max="5402" width="12.85546875" style="12" hidden="1"/>
    <col min="5403" max="5403" width="13.42578125" style="12" hidden="1"/>
    <col min="5404" max="5404" width="16" style="12" hidden="1"/>
    <col min="5405" max="5405" width="12.28515625" style="12" hidden="1"/>
    <col min="5406" max="5406" width="17.28515625" style="12" hidden="1"/>
    <col min="5407" max="5407" width="16.28515625" style="12" hidden="1"/>
    <col min="5408" max="5408" width="22.5703125" style="12" hidden="1"/>
    <col min="5409" max="5409" width="21.140625" style="12" hidden="1"/>
    <col min="5410" max="5410" width="23.42578125" style="12" hidden="1"/>
    <col min="5411" max="5632" width="10.85546875" style="12" hidden="1"/>
    <col min="5633" max="5633" width="19.7109375" style="12" hidden="1"/>
    <col min="5634" max="5634" width="19.42578125" style="12" hidden="1"/>
    <col min="5635" max="5635" width="10.42578125" style="12" hidden="1"/>
    <col min="5636" max="5636" width="16.42578125" style="12" hidden="1"/>
    <col min="5637" max="5637" width="27.28515625" style="12" hidden="1"/>
    <col min="5638" max="5638" width="10.140625" style="12" hidden="1"/>
    <col min="5639" max="5639" width="18.140625" style="12" hidden="1"/>
    <col min="5640" max="5640" width="21" style="12" hidden="1"/>
    <col min="5641" max="5641" width="23.7109375" style="12" hidden="1"/>
    <col min="5642" max="5642" width="10.7109375" style="12" hidden="1"/>
    <col min="5643" max="5643" width="25.42578125" style="12" hidden="1"/>
    <col min="5644" max="5644" width="12.42578125" style="12" hidden="1"/>
    <col min="5645" max="5645" width="13.42578125" style="12" hidden="1"/>
    <col min="5646" max="5646" width="10.28515625" style="12" hidden="1"/>
    <col min="5647" max="5655" width="15.42578125" style="12" hidden="1"/>
    <col min="5656" max="5656" width="15.85546875" style="12" hidden="1"/>
    <col min="5657" max="5657" width="13.42578125" style="12" hidden="1"/>
    <col min="5658" max="5658" width="12.85546875" style="12" hidden="1"/>
    <col min="5659" max="5659" width="13.42578125" style="12" hidden="1"/>
    <col min="5660" max="5660" width="16" style="12" hidden="1"/>
    <col min="5661" max="5661" width="12.28515625" style="12" hidden="1"/>
    <col min="5662" max="5662" width="17.28515625" style="12" hidden="1"/>
    <col min="5663" max="5663" width="16.28515625" style="12" hidden="1"/>
    <col min="5664" max="5664" width="22.5703125" style="12" hidden="1"/>
    <col min="5665" max="5665" width="21.140625" style="12" hidden="1"/>
    <col min="5666" max="5666" width="23.42578125" style="12" hidden="1"/>
    <col min="5667" max="5888" width="10.85546875" style="12" hidden="1"/>
    <col min="5889" max="5889" width="19.7109375" style="12" hidden="1"/>
    <col min="5890" max="5890" width="19.42578125" style="12" hidden="1"/>
    <col min="5891" max="5891" width="10.42578125" style="12" hidden="1"/>
    <col min="5892" max="5892" width="16.42578125" style="12" hidden="1"/>
    <col min="5893" max="5893" width="27.28515625" style="12" hidden="1"/>
    <col min="5894" max="5894" width="10.140625" style="12" hidden="1"/>
    <col min="5895" max="5895" width="18.140625" style="12" hidden="1"/>
    <col min="5896" max="5896" width="21" style="12" hidden="1"/>
    <col min="5897" max="5897" width="23.7109375" style="12" hidden="1"/>
    <col min="5898" max="5898" width="10.7109375" style="12" hidden="1"/>
    <col min="5899" max="5899" width="25.42578125" style="12" hidden="1"/>
    <col min="5900" max="5900" width="12.42578125" style="12" hidden="1"/>
    <col min="5901" max="5901" width="13.42578125" style="12" hidden="1"/>
    <col min="5902" max="5902" width="10.28515625" style="12" hidden="1"/>
    <col min="5903" max="5911" width="15.42578125" style="12" hidden="1"/>
    <col min="5912" max="5912" width="15.85546875" style="12" hidden="1"/>
    <col min="5913" max="5913" width="13.42578125" style="12" hidden="1"/>
    <col min="5914" max="5914" width="12.85546875" style="12" hidden="1"/>
    <col min="5915" max="5915" width="13.42578125" style="12" hidden="1"/>
    <col min="5916" max="5916" width="16" style="12" hidden="1"/>
    <col min="5917" max="5917" width="12.28515625" style="12" hidden="1"/>
    <col min="5918" max="5918" width="17.28515625" style="12" hidden="1"/>
    <col min="5919" max="5919" width="16.28515625" style="12" hidden="1"/>
    <col min="5920" max="5920" width="22.5703125" style="12" hidden="1"/>
    <col min="5921" max="5921" width="21.140625" style="12" hidden="1"/>
    <col min="5922" max="5922" width="23.42578125" style="12" hidden="1"/>
    <col min="5923" max="6144" width="10.85546875" style="12" hidden="1"/>
    <col min="6145" max="6145" width="19.7109375" style="12" hidden="1"/>
    <col min="6146" max="6146" width="19.42578125" style="12" hidden="1"/>
    <col min="6147" max="6147" width="10.42578125" style="12" hidden="1"/>
    <col min="6148" max="6148" width="16.42578125" style="12" hidden="1"/>
    <col min="6149" max="6149" width="27.28515625" style="12" hidden="1"/>
    <col min="6150" max="6150" width="10.140625" style="12" hidden="1"/>
    <col min="6151" max="6151" width="18.140625" style="12" hidden="1"/>
    <col min="6152" max="6152" width="21" style="12" hidden="1"/>
    <col min="6153" max="6153" width="23.7109375" style="12" hidden="1"/>
    <col min="6154" max="6154" width="10.7109375" style="12" hidden="1"/>
    <col min="6155" max="6155" width="25.42578125" style="12" hidden="1"/>
    <col min="6156" max="6156" width="12.42578125" style="12" hidden="1"/>
    <col min="6157" max="6157" width="13.42578125" style="12" hidden="1"/>
    <col min="6158" max="6158" width="10.28515625" style="12" hidden="1"/>
    <col min="6159" max="6167" width="15.42578125" style="12" hidden="1"/>
    <col min="6168" max="6168" width="15.85546875" style="12" hidden="1"/>
    <col min="6169" max="6169" width="13.42578125" style="12" hidden="1"/>
    <col min="6170" max="6170" width="12.85546875" style="12" hidden="1"/>
    <col min="6171" max="6171" width="13.42578125" style="12" hidden="1"/>
    <col min="6172" max="6172" width="16" style="12" hidden="1"/>
    <col min="6173" max="6173" width="12.28515625" style="12" hidden="1"/>
    <col min="6174" max="6174" width="17.28515625" style="12" hidden="1"/>
    <col min="6175" max="6175" width="16.28515625" style="12" hidden="1"/>
    <col min="6176" max="6176" width="22.5703125" style="12" hidden="1"/>
    <col min="6177" max="6177" width="21.140625" style="12" hidden="1"/>
    <col min="6178" max="6178" width="23.42578125" style="12" hidden="1"/>
    <col min="6179" max="6400" width="10.85546875" style="12" hidden="1"/>
    <col min="6401" max="6401" width="19.7109375" style="12" hidden="1"/>
    <col min="6402" max="6402" width="19.42578125" style="12" hidden="1"/>
    <col min="6403" max="6403" width="10.42578125" style="12" hidden="1"/>
    <col min="6404" max="6404" width="16.42578125" style="12" hidden="1"/>
    <col min="6405" max="6405" width="27.28515625" style="12" hidden="1"/>
    <col min="6406" max="6406" width="10.140625" style="12" hidden="1"/>
    <col min="6407" max="6407" width="18.140625" style="12" hidden="1"/>
    <col min="6408" max="6408" width="21" style="12" hidden="1"/>
    <col min="6409" max="6409" width="23.7109375" style="12" hidden="1"/>
    <col min="6410" max="6410" width="10.7109375" style="12" hidden="1"/>
    <col min="6411" max="6411" width="25.42578125" style="12" hidden="1"/>
    <col min="6412" max="6412" width="12.42578125" style="12" hidden="1"/>
    <col min="6413" max="6413" width="13.42578125" style="12" hidden="1"/>
    <col min="6414" max="6414" width="10.28515625" style="12" hidden="1"/>
    <col min="6415" max="6423" width="15.42578125" style="12" hidden="1"/>
    <col min="6424" max="6424" width="15.85546875" style="12" hidden="1"/>
    <col min="6425" max="6425" width="13.42578125" style="12" hidden="1"/>
    <col min="6426" max="6426" width="12.85546875" style="12" hidden="1"/>
    <col min="6427" max="6427" width="13.42578125" style="12" hidden="1"/>
    <col min="6428" max="6428" width="16" style="12" hidden="1"/>
    <col min="6429" max="6429" width="12.28515625" style="12" hidden="1"/>
    <col min="6430" max="6430" width="17.28515625" style="12" hidden="1"/>
    <col min="6431" max="6431" width="16.28515625" style="12" hidden="1"/>
    <col min="6432" max="6432" width="22.5703125" style="12" hidden="1"/>
    <col min="6433" max="6433" width="21.140625" style="12" hidden="1"/>
    <col min="6434" max="6434" width="23.42578125" style="12" hidden="1"/>
    <col min="6435" max="6656" width="10.85546875" style="12" hidden="1"/>
    <col min="6657" max="6657" width="19.7109375" style="12" hidden="1"/>
    <col min="6658" max="6658" width="19.42578125" style="12" hidden="1"/>
    <col min="6659" max="6659" width="10.42578125" style="12" hidden="1"/>
    <col min="6660" max="6660" width="16.42578125" style="12" hidden="1"/>
    <col min="6661" max="6661" width="27.28515625" style="12" hidden="1"/>
    <col min="6662" max="6662" width="10.140625" style="12" hidden="1"/>
    <col min="6663" max="6663" width="18.140625" style="12" hidden="1"/>
    <col min="6664" max="6664" width="21" style="12" hidden="1"/>
    <col min="6665" max="6665" width="23.7109375" style="12" hidden="1"/>
    <col min="6666" max="6666" width="10.7109375" style="12" hidden="1"/>
    <col min="6667" max="6667" width="25.42578125" style="12" hidden="1"/>
    <col min="6668" max="6668" width="12.42578125" style="12" hidden="1"/>
    <col min="6669" max="6669" width="13.42578125" style="12" hidden="1"/>
    <col min="6670" max="6670" width="10.28515625" style="12" hidden="1"/>
    <col min="6671" max="6679" width="15.42578125" style="12" hidden="1"/>
    <col min="6680" max="6680" width="15.85546875" style="12" hidden="1"/>
    <col min="6681" max="6681" width="13.42578125" style="12" hidden="1"/>
    <col min="6682" max="6682" width="12.85546875" style="12" hidden="1"/>
    <col min="6683" max="6683" width="13.42578125" style="12" hidden="1"/>
    <col min="6684" max="6684" width="16" style="12" hidden="1"/>
    <col min="6685" max="6685" width="12.28515625" style="12" hidden="1"/>
    <col min="6686" max="6686" width="17.28515625" style="12" hidden="1"/>
    <col min="6687" max="6687" width="16.28515625" style="12" hidden="1"/>
    <col min="6688" max="6688" width="22.5703125" style="12" hidden="1"/>
    <col min="6689" max="6689" width="21.140625" style="12" hidden="1"/>
    <col min="6690" max="6690" width="23.42578125" style="12" hidden="1"/>
    <col min="6691" max="6912" width="10.85546875" style="12" hidden="1"/>
    <col min="6913" max="6913" width="19.7109375" style="12" hidden="1"/>
    <col min="6914" max="6914" width="19.42578125" style="12" hidden="1"/>
    <col min="6915" max="6915" width="10.42578125" style="12" hidden="1"/>
    <col min="6916" max="6916" width="16.42578125" style="12" hidden="1"/>
    <col min="6917" max="6917" width="27.28515625" style="12" hidden="1"/>
    <col min="6918" max="6918" width="10.140625" style="12" hidden="1"/>
    <col min="6919" max="6919" width="18.140625" style="12" hidden="1"/>
    <col min="6920" max="6920" width="21" style="12" hidden="1"/>
    <col min="6921" max="6921" width="23.7109375" style="12" hidden="1"/>
    <col min="6922" max="6922" width="10.7109375" style="12" hidden="1"/>
    <col min="6923" max="6923" width="25.42578125" style="12" hidden="1"/>
    <col min="6924" max="6924" width="12.42578125" style="12" hidden="1"/>
    <col min="6925" max="6925" width="13.42578125" style="12" hidden="1"/>
    <col min="6926" max="6926" width="10.28515625" style="12" hidden="1"/>
    <col min="6927" max="6935" width="15.42578125" style="12" hidden="1"/>
    <col min="6936" max="6936" width="15.85546875" style="12" hidden="1"/>
    <col min="6937" max="6937" width="13.42578125" style="12" hidden="1"/>
    <col min="6938" max="6938" width="12.85546875" style="12" hidden="1"/>
    <col min="6939" max="6939" width="13.42578125" style="12" hidden="1"/>
    <col min="6940" max="6940" width="16" style="12" hidden="1"/>
    <col min="6941" max="6941" width="12.28515625" style="12" hidden="1"/>
    <col min="6942" max="6942" width="17.28515625" style="12" hidden="1"/>
    <col min="6943" max="6943" width="16.28515625" style="12" hidden="1"/>
    <col min="6944" max="6944" width="22.5703125" style="12" hidden="1"/>
    <col min="6945" max="6945" width="21.140625" style="12" hidden="1"/>
    <col min="6946" max="6946" width="23.42578125" style="12" hidden="1"/>
    <col min="6947" max="7168" width="10.85546875" style="12" hidden="1"/>
    <col min="7169" max="7169" width="19.7109375" style="12" hidden="1"/>
    <col min="7170" max="7170" width="19.42578125" style="12" hidden="1"/>
    <col min="7171" max="7171" width="10.42578125" style="12" hidden="1"/>
    <col min="7172" max="7172" width="16.42578125" style="12" hidden="1"/>
    <col min="7173" max="7173" width="27.28515625" style="12" hidden="1"/>
    <col min="7174" max="7174" width="10.140625" style="12" hidden="1"/>
    <col min="7175" max="7175" width="18.140625" style="12" hidden="1"/>
    <col min="7176" max="7176" width="21" style="12" hidden="1"/>
    <col min="7177" max="7177" width="23.7109375" style="12" hidden="1"/>
    <col min="7178" max="7178" width="10.7109375" style="12" hidden="1"/>
    <col min="7179" max="7179" width="25.42578125" style="12" hidden="1"/>
    <col min="7180" max="7180" width="12.42578125" style="12" hidden="1"/>
    <col min="7181" max="7181" width="13.42578125" style="12" hidden="1"/>
    <col min="7182" max="7182" width="10.28515625" style="12" hidden="1"/>
    <col min="7183" max="7191" width="15.42578125" style="12" hidden="1"/>
    <col min="7192" max="7192" width="15.85546875" style="12" hidden="1"/>
    <col min="7193" max="7193" width="13.42578125" style="12" hidden="1"/>
    <col min="7194" max="7194" width="12.85546875" style="12" hidden="1"/>
    <col min="7195" max="7195" width="13.42578125" style="12" hidden="1"/>
    <col min="7196" max="7196" width="16" style="12" hidden="1"/>
    <col min="7197" max="7197" width="12.28515625" style="12" hidden="1"/>
    <col min="7198" max="7198" width="17.28515625" style="12" hidden="1"/>
    <col min="7199" max="7199" width="16.28515625" style="12" hidden="1"/>
    <col min="7200" max="7200" width="22.5703125" style="12" hidden="1"/>
    <col min="7201" max="7201" width="21.140625" style="12" hidden="1"/>
    <col min="7202" max="7202" width="23.42578125" style="12" hidden="1"/>
    <col min="7203" max="7424" width="10.85546875" style="12" hidden="1"/>
    <col min="7425" max="7425" width="19.7109375" style="12" hidden="1"/>
    <col min="7426" max="7426" width="19.42578125" style="12" hidden="1"/>
    <col min="7427" max="7427" width="10.42578125" style="12" hidden="1"/>
    <col min="7428" max="7428" width="16.42578125" style="12" hidden="1"/>
    <col min="7429" max="7429" width="27.28515625" style="12" hidden="1"/>
    <col min="7430" max="7430" width="10.140625" style="12" hidden="1"/>
    <col min="7431" max="7431" width="18.140625" style="12" hidden="1"/>
    <col min="7432" max="7432" width="21" style="12" hidden="1"/>
    <col min="7433" max="7433" width="23.7109375" style="12" hidden="1"/>
    <col min="7434" max="7434" width="10.7109375" style="12" hidden="1"/>
    <col min="7435" max="7435" width="25.42578125" style="12" hidden="1"/>
    <col min="7436" max="7436" width="12.42578125" style="12" hidden="1"/>
    <col min="7437" max="7437" width="13.42578125" style="12" hidden="1"/>
    <col min="7438" max="7438" width="10.28515625" style="12" hidden="1"/>
    <col min="7439" max="7447" width="15.42578125" style="12" hidden="1"/>
    <col min="7448" max="7448" width="15.85546875" style="12" hidden="1"/>
    <col min="7449" max="7449" width="13.42578125" style="12" hidden="1"/>
    <col min="7450" max="7450" width="12.85546875" style="12" hidden="1"/>
    <col min="7451" max="7451" width="13.42578125" style="12" hidden="1"/>
    <col min="7452" max="7452" width="16" style="12" hidden="1"/>
    <col min="7453" max="7453" width="12.28515625" style="12" hidden="1"/>
    <col min="7454" max="7454" width="17.28515625" style="12" hidden="1"/>
    <col min="7455" max="7455" width="16.28515625" style="12" hidden="1"/>
    <col min="7456" max="7456" width="22.5703125" style="12" hidden="1"/>
    <col min="7457" max="7457" width="21.140625" style="12" hidden="1"/>
    <col min="7458" max="7458" width="23.42578125" style="12" hidden="1"/>
    <col min="7459" max="7680" width="10.85546875" style="12" hidden="1"/>
    <col min="7681" max="7681" width="19.7109375" style="12" hidden="1"/>
    <col min="7682" max="7682" width="19.42578125" style="12" hidden="1"/>
    <col min="7683" max="7683" width="10.42578125" style="12" hidden="1"/>
    <col min="7684" max="7684" width="16.42578125" style="12" hidden="1"/>
    <col min="7685" max="7685" width="27.28515625" style="12" hidden="1"/>
    <col min="7686" max="7686" width="10.140625" style="12" hidden="1"/>
    <col min="7687" max="7687" width="18.140625" style="12" hidden="1"/>
    <col min="7688" max="7688" width="21" style="12" hidden="1"/>
    <col min="7689" max="7689" width="23.7109375" style="12" hidden="1"/>
    <col min="7690" max="7690" width="10.7109375" style="12" hidden="1"/>
    <col min="7691" max="7691" width="25.42578125" style="12" hidden="1"/>
    <col min="7692" max="7692" width="12.42578125" style="12" hidden="1"/>
    <col min="7693" max="7693" width="13.42578125" style="12" hidden="1"/>
    <col min="7694" max="7694" width="10.28515625" style="12" hidden="1"/>
    <col min="7695" max="7703" width="15.42578125" style="12" hidden="1"/>
    <col min="7704" max="7704" width="15.85546875" style="12" hidden="1"/>
    <col min="7705" max="7705" width="13.42578125" style="12" hidden="1"/>
    <col min="7706" max="7706" width="12.85546875" style="12" hidden="1"/>
    <col min="7707" max="7707" width="13.42578125" style="12" hidden="1"/>
    <col min="7708" max="7708" width="16" style="12" hidden="1"/>
    <col min="7709" max="7709" width="12.28515625" style="12" hidden="1"/>
    <col min="7710" max="7710" width="17.28515625" style="12" hidden="1"/>
    <col min="7711" max="7711" width="16.28515625" style="12" hidden="1"/>
    <col min="7712" max="7712" width="22.5703125" style="12" hidden="1"/>
    <col min="7713" max="7713" width="21.140625" style="12" hidden="1"/>
    <col min="7714" max="7714" width="23.42578125" style="12" hidden="1"/>
    <col min="7715" max="7936" width="10.85546875" style="12" hidden="1"/>
    <col min="7937" max="7937" width="19.7109375" style="12" hidden="1"/>
    <col min="7938" max="7938" width="19.42578125" style="12" hidden="1"/>
    <col min="7939" max="7939" width="10.42578125" style="12" hidden="1"/>
    <col min="7940" max="7940" width="16.42578125" style="12" hidden="1"/>
    <col min="7941" max="7941" width="27.28515625" style="12" hidden="1"/>
    <col min="7942" max="7942" width="10.140625" style="12" hidden="1"/>
    <col min="7943" max="7943" width="18.140625" style="12" hidden="1"/>
    <col min="7944" max="7944" width="21" style="12" hidden="1"/>
    <col min="7945" max="7945" width="23.7109375" style="12" hidden="1"/>
    <col min="7946" max="7946" width="10.7109375" style="12" hidden="1"/>
    <col min="7947" max="7947" width="25.42578125" style="12" hidden="1"/>
    <col min="7948" max="7948" width="12.42578125" style="12" hidden="1"/>
    <col min="7949" max="7949" width="13.42578125" style="12" hidden="1"/>
    <col min="7950" max="7950" width="10.28515625" style="12" hidden="1"/>
    <col min="7951" max="7959" width="15.42578125" style="12" hidden="1"/>
    <col min="7960" max="7960" width="15.85546875" style="12" hidden="1"/>
    <col min="7961" max="7961" width="13.42578125" style="12" hidden="1"/>
    <col min="7962" max="7962" width="12.85546875" style="12" hidden="1"/>
    <col min="7963" max="7963" width="13.42578125" style="12" hidden="1"/>
    <col min="7964" max="7964" width="16" style="12" hidden="1"/>
    <col min="7965" max="7965" width="12.28515625" style="12" hidden="1"/>
    <col min="7966" max="7966" width="17.28515625" style="12" hidden="1"/>
    <col min="7967" max="7967" width="16.28515625" style="12" hidden="1"/>
    <col min="7968" max="7968" width="22.5703125" style="12" hidden="1"/>
    <col min="7969" max="7969" width="21.140625" style="12" hidden="1"/>
    <col min="7970" max="7970" width="23.42578125" style="12" hidden="1"/>
    <col min="7971" max="8192" width="10.85546875" style="12" hidden="1"/>
    <col min="8193" max="8193" width="19.7109375" style="12" hidden="1"/>
    <col min="8194" max="8194" width="19.42578125" style="12" hidden="1"/>
    <col min="8195" max="8195" width="10.42578125" style="12" hidden="1"/>
    <col min="8196" max="8196" width="16.42578125" style="12" hidden="1"/>
    <col min="8197" max="8197" width="27.28515625" style="12" hidden="1"/>
    <col min="8198" max="8198" width="10.140625" style="12" hidden="1"/>
    <col min="8199" max="8199" width="18.140625" style="12" hidden="1"/>
    <col min="8200" max="8200" width="21" style="12" hidden="1"/>
    <col min="8201" max="8201" width="23.7109375" style="12" hidden="1"/>
    <col min="8202" max="8202" width="10.7109375" style="12" hidden="1"/>
    <col min="8203" max="8203" width="25.42578125" style="12" hidden="1"/>
    <col min="8204" max="8204" width="12.42578125" style="12" hidden="1"/>
    <col min="8205" max="8205" width="13.42578125" style="12" hidden="1"/>
    <col min="8206" max="8206" width="10.28515625" style="12" hidden="1"/>
    <col min="8207" max="8215" width="15.42578125" style="12" hidden="1"/>
    <col min="8216" max="8216" width="15.85546875" style="12" hidden="1"/>
    <col min="8217" max="8217" width="13.42578125" style="12" hidden="1"/>
    <col min="8218" max="8218" width="12.85546875" style="12" hidden="1"/>
    <col min="8219" max="8219" width="13.42578125" style="12" hidden="1"/>
    <col min="8220" max="8220" width="16" style="12" hidden="1"/>
    <col min="8221" max="8221" width="12.28515625" style="12" hidden="1"/>
    <col min="8222" max="8222" width="17.28515625" style="12" hidden="1"/>
    <col min="8223" max="8223" width="16.28515625" style="12" hidden="1"/>
    <col min="8224" max="8224" width="22.5703125" style="12" hidden="1"/>
    <col min="8225" max="8225" width="21.140625" style="12" hidden="1"/>
    <col min="8226" max="8226" width="23.42578125" style="12" hidden="1"/>
    <col min="8227" max="8448" width="10.85546875" style="12" hidden="1"/>
    <col min="8449" max="8449" width="19.7109375" style="12" hidden="1"/>
    <col min="8450" max="8450" width="19.42578125" style="12" hidden="1"/>
    <col min="8451" max="8451" width="10.42578125" style="12" hidden="1"/>
    <col min="8452" max="8452" width="16.42578125" style="12" hidden="1"/>
    <col min="8453" max="8453" width="27.28515625" style="12" hidden="1"/>
    <col min="8454" max="8454" width="10.140625" style="12" hidden="1"/>
    <col min="8455" max="8455" width="18.140625" style="12" hidden="1"/>
    <col min="8456" max="8456" width="21" style="12" hidden="1"/>
    <col min="8457" max="8457" width="23.7109375" style="12" hidden="1"/>
    <col min="8458" max="8458" width="10.7109375" style="12" hidden="1"/>
    <col min="8459" max="8459" width="25.42578125" style="12" hidden="1"/>
    <col min="8460" max="8460" width="12.42578125" style="12" hidden="1"/>
    <col min="8461" max="8461" width="13.42578125" style="12" hidden="1"/>
    <col min="8462" max="8462" width="10.28515625" style="12" hidden="1"/>
    <col min="8463" max="8471" width="15.42578125" style="12" hidden="1"/>
    <col min="8472" max="8472" width="15.85546875" style="12" hidden="1"/>
    <col min="8473" max="8473" width="13.42578125" style="12" hidden="1"/>
    <col min="8474" max="8474" width="12.85546875" style="12" hidden="1"/>
    <col min="8475" max="8475" width="13.42578125" style="12" hidden="1"/>
    <col min="8476" max="8476" width="16" style="12" hidden="1"/>
    <col min="8477" max="8477" width="12.28515625" style="12" hidden="1"/>
    <col min="8478" max="8478" width="17.28515625" style="12" hidden="1"/>
    <col min="8479" max="8479" width="16.28515625" style="12" hidden="1"/>
    <col min="8480" max="8480" width="22.5703125" style="12" hidden="1"/>
    <col min="8481" max="8481" width="21.140625" style="12" hidden="1"/>
    <col min="8482" max="8482" width="23.42578125" style="12" hidden="1"/>
    <col min="8483" max="8704" width="10.85546875" style="12" hidden="1"/>
    <col min="8705" max="8705" width="19.7109375" style="12" hidden="1"/>
    <col min="8706" max="8706" width="19.42578125" style="12" hidden="1"/>
    <col min="8707" max="8707" width="10.42578125" style="12" hidden="1"/>
    <col min="8708" max="8708" width="16.42578125" style="12" hidden="1"/>
    <col min="8709" max="8709" width="27.28515625" style="12" hidden="1"/>
    <col min="8710" max="8710" width="10.140625" style="12" hidden="1"/>
    <col min="8711" max="8711" width="18.140625" style="12" hidden="1"/>
    <col min="8712" max="8712" width="21" style="12" hidden="1"/>
    <col min="8713" max="8713" width="23.7109375" style="12" hidden="1"/>
    <col min="8714" max="8714" width="10.7109375" style="12" hidden="1"/>
    <col min="8715" max="8715" width="25.42578125" style="12" hidden="1"/>
    <col min="8716" max="8716" width="12.42578125" style="12" hidden="1"/>
    <col min="8717" max="8717" width="13.42578125" style="12" hidden="1"/>
    <col min="8718" max="8718" width="10.28515625" style="12" hidden="1"/>
    <col min="8719" max="8727" width="15.42578125" style="12" hidden="1"/>
    <col min="8728" max="8728" width="15.85546875" style="12" hidden="1"/>
    <col min="8729" max="8729" width="13.42578125" style="12" hidden="1"/>
    <col min="8730" max="8730" width="12.85546875" style="12" hidden="1"/>
    <col min="8731" max="8731" width="13.42578125" style="12" hidden="1"/>
    <col min="8732" max="8732" width="16" style="12" hidden="1"/>
    <col min="8733" max="8733" width="12.28515625" style="12" hidden="1"/>
    <col min="8734" max="8734" width="17.28515625" style="12" hidden="1"/>
    <col min="8735" max="8735" width="16.28515625" style="12" hidden="1"/>
    <col min="8736" max="8736" width="22.5703125" style="12" hidden="1"/>
    <col min="8737" max="8737" width="21.140625" style="12" hidden="1"/>
    <col min="8738" max="8738" width="23.42578125" style="12" hidden="1"/>
    <col min="8739" max="8960" width="10.85546875" style="12" hidden="1"/>
    <col min="8961" max="8961" width="19.7109375" style="12" hidden="1"/>
    <col min="8962" max="8962" width="19.42578125" style="12" hidden="1"/>
    <col min="8963" max="8963" width="10.42578125" style="12" hidden="1"/>
    <col min="8964" max="8964" width="16.42578125" style="12" hidden="1"/>
    <col min="8965" max="8965" width="27.28515625" style="12" hidden="1"/>
    <col min="8966" max="8966" width="10.140625" style="12" hidden="1"/>
    <col min="8967" max="8967" width="18.140625" style="12" hidden="1"/>
    <col min="8968" max="8968" width="21" style="12" hidden="1"/>
    <col min="8969" max="8969" width="23.7109375" style="12" hidden="1"/>
    <col min="8970" max="8970" width="10.7109375" style="12" hidden="1"/>
    <col min="8971" max="8971" width="25.42578125" style="12" hidden="1"/>
    <col min="8972" max="8972" width="12.42578125" style="12" hidden="1"/>
    <col min="8973" max="8973" width="13.42578125" style="12" hidden="1"/>
    <col min="8974" max="8974" width="10.28515625" style="12" hidden="1"/>
    <col min="8975" max="8983" width="15.42578125" style="12" hidden="1"/>
    <col min="8984" max="8984" width="15.85546875" style="12" hidden="1"/>
    <col min="8985" max="8985" width="13.42578125" style="12" hidden="1"/>
    <col min="8986" max="8986" width="12.85546875" style="12" hidden="1"/>
    <col min="8987" max="8987" width="13.42578125" style="12" hidden="1"/>
    <col min="8988" max="8988" width="16" style="12" hidden="1"/>
    <col min="8989" max="8989" width="12.28515625" style="12" hidden="1"/>
    <col min="8990" max="8990" width="17.28515625" style="12" hidden="1"/>
    <col min="8991" max="8991" width="16.28515625" style="12" hidden="1"/>
    <col min="8992" max="8992" width="22.5703125" style="12" hidden="1"/>
    <col min="8993" max="8993" width="21.140625" style="12" hidden="1"/>
    <col min="8994" max="8994" width="23.42578125" style="12" hidden="1"/>
    <col min="8995" max="9216" width="10.85546875" style="12" hidden="1"/>
    <col min="9217" max="9217" width="19.7109375" style="12" hidden="1"/>
    <col min="9218" max="9218" width="19.42578125" style="12" hidden="1"/>
    <col min="9219" max="9219" width="10.42578125" style="12" hidden="1"/>
    <col min="9220" max="9220" width="16.42578125" style="12" hidden="1"/>
    <col min="9221" max="9221" width="27.28515625" style="12" hidden="1"/>
    <col min="9222" max="9222" width="10.140625" style="12" hidden="1"/>
    <col min="9223" max="9223" width="18.140625" style="12" hidden="1"/>
    <col min="9224" max="9224" width="21" style="12" hidden="1"/>
    <col min="9225" max="9225" width="23.7109375" style="12" hidden="1"/>
    <col min="9226" max="9226" width="10.7109375" style="12" hidden="1"/>
    <col min="9227" max="9227" width="25.42578125" style="12" hidden="1"/>
    <col min="9228" max="9228" width="12.42578125" style="12" hidden="1"/>
    <col min="9229" max="9229" width="13.42578125" style="12" hidden="1"/>
    <col min="9230" max="9230" width="10.28515625" style="12" hidden="1"/>
    <col min="9231" max="9239" width="15.42578125" style="12" hidden="1"/>
    <col min="9240" max="9240" width="15.85546875" style="12" hidden="1"/>
    <col min="9241" max="9241" width="13.42578125" style="12" hidden="1"/>
    <col min="9242" max="9242" width="12.85546875" style="12" hidden="1"/>
    <col min="9243" max="9243" width="13.42578125" style="12" hidden="1"/>
    <col min="9244" max="9244" width="16" style="12" hidden="1"/>
    <col min="9245" max="9245" width="12.28515625" style="12" hidden="1"/>
    <col min="9246" max="9246" width="17.28515625" style="12" hidden="1"/>
    <col min="9247" max="9247" width="16.28515625" style="12" hidden="1"/>
    <col min="9248" max="9248" width="22.5703125" style="12" hidden="1"/>
    <col min="9249" max="9249" width="21.140625" style="12" hidden="1"/>
    <col min="9250" max="9250" width="23.42578125" style="12" hidden="1"/>
    <col min="9251" max="9472" width="10.85546875" style="12" hidden="1"/>
    <col min="9473" max="9473" width="19.7109375" style="12" hidden="1"/>
    <col min="9474" max="9474" width="19.42578125" style="12" hidden="1"/>
    <col min="9475" max="9475" width="10.42578125" style="12" hidden="1"/>
    <col min="9476" max="9476" width="16.42578125" style="12" hidden="1"/>
    <col min="9477" max="9477" width="27.28515625" style="12" hidden="1"/>
    <col min="9478" max="9478" width="10.140625" style="12" hidden="1"/>
    <col min="9479" max="9479" width="18.140625" style="12" hidden="1"/>
    <col min="9480" max="9480" width="21" style="12" hidden="1"/>
    <col min="9481" max="9481" width="23.7109375" style="12" hidden="1"/>
    <col min="9482" max="9482" width="10.7109375" style="12" hidden="1"/>
    <col min="9483" max="9483" width="25.42578125" style="12" hidden="1"/>
    <col min="9484" max="9484" width="12.42578125" style="12" hidden="1"/>
    <col min="9485" max="9485" width="13.42578125" style="12" hidden="1"/>
    <col min="9486" max="9486" width="10.28515625" style="12" hidden="1"/>
    <col min="9487" max="9495" width="15.42578125" style="12" hidden="1"/>
    <col min="9496" max="9496" width="15.85546875" style="12" hidden="1"/>
    <col min="9497" max="9497" width="13.42578125" style="12" hidden="1"/>
    <col min="9498" max="9498" width="12.85546875" style="12" hidden="1"/>
    <col min="9499" max="9499" width="13.42578125" style="12" hidden="1"/>
    <col min="9500" max="9500" width="16" style="12" hidden="1"/>
    <col min="9501" max="9501" width="12.28515625" style="12" hidden="1"/>
    <col min="9502" max="9502" width="17.28515625" style="12" hidden="1"/>
    <col min="9503" max="9503" width="16.28515625" style="12" hidden="1"/>
    <col min="9504" max="9504" width="22.5703125" style="12" hidden="1"/>
    <col min="9505" max="9505" width="21.140625" style="12" hidden="1"/>
    <col min="9506" max="9506" width="23.42578125" style="12" hidden="1"/>
    <col min="9507" max="9728" width="10.85546875" style="12" hidden="1"/>
    <col min="9729" max="9729" width="19.7109375" style="12" hidden="1"/>
    <col min="9730" max="9730" width="19.42578125" style="12" hidden="1"/>
    <col min="9731" max="9731" width="10.42578125" style="12" hidden="1"/>
    <col min="9732" max="9732" width="16.42578125" style="12" hidden="1"/>
    <col min="9733" max="9733" width="27.28515625" style="12" hidden="1"/>
    <col min="9734" max="9734" width="10.140625" style="12" hidden="1"/>
    <col min="9735" max="9735" width="18.140625" style="12" hidden="1"/>
    <col min="9736" max="9736" width="21" style="12" hidden="1"/>
    <col min="9737" max="9737" width="23.7109375" style="12" hidden="1"/>
    <col min="9738" max="9738" width="10.7109375" style="12" hidden="1"/>
    <col min="9739" max="9739" width="25.42578125" style="12" hidden="1"/>
    <col min="9740" max="9740" width="12.42578125" style="12" hidden="1"/>
    <col min="9741" max="9741" width="13.42578125" style="12" hidden="1"/>
    <col min="9742" max="9742" width="10.28515625" style="12" hidden="1"/>
    <col min="9743" max="9751" width="15.42578125" style="12" hidden="1"/>
    <col min="9752" max="9752" width="15.85546875" style="12" hidden="1"/>
    <col min="9753" max="9753" width="13.42578125" style="12" hidden="1"/>
    <col min="9754" max="9754" width="12.85546875" style="12" hidden="1"/>
    <col min="9755" max="9755" width="13.42578125" style="12" hidden="1"/>
    <col min="9756" max="9756" width="16" style="12" hidden="1"/>
    <col min="9757" max="9757" width="12.28515625" style="12" hidden="1"/>
    <col min="9758" max="9758" width="17.28515625" style="12" hidden="1"/>
    <col min="9759" max="9759" width="16.28515625" style="12" hidden="1"/>
    <col min="9760" max="9760" width="22.5703125" style="12" hidden="1"/>
    <col min="9761" max="9761" width="21.140625" style="12" hidden="1"/>
    <col min="9762" max="9762" width="23.42578125" style="12" hidden="1"/>
    <col min="9763" max="9984" width="10.85546875" style="12" hidden="1"/>
    <col min="9985" max="9985" width="19.7109375" style="12" hidden="1"/>
    <col min="9986" max="9986" width="19.42578125" style="12" hidden="1"/>
    <col min="9987" max="9987" width="10.42578125" style="12" hidden="1"/>
    <col min="9988" max="9988" width="16.42578125" style="12" hidden="1"/>
    <col min="9989" max="9989" width="27.28515625" style="12" hidden="1"/>
    <col min="9990" max="9990" width="10.140625" style="12" hidden="1"/>
    <col min="9991" max="9991" width="18.140625" style="12" hidden="1"/>
    <col min="9992" max="9992" width="21" style="12" hidden="1"/>
    <col min="9993" max="9993" width="23.7109375" style="12" hidden="1"/>
    <col min="9994" max="9994" width="10.7109375" style="12" hidden="1"/>
    <col min="9995" max="9995" width="25.42578125" style="12" hidden="1"/>
    <col min="9996" max="9996" width="12.42578125" style="12" hidden="1"/>
    <col min="9997" max="9997" width="13.42578125" style="12" hidden="1"/>
    <col min="9998" max="9998" width="10.28515625" style="12" hidden="1"/>
    <col min="9999" max="10007" width="15.42578125" style="12" hidden="1"/>
    <col min="10008" max="10008" width="15.85546875" style="12" hidden="1"/>
    <col min="10009" max="10009" width="13.42578125" style="12" hidden="1"/>
    <col min="10010" max="10010" width="12.85546875" style="12" hidden="1"/>
    <col min="10011" max="10011" width="13.42578125" style="12" hidden="1"/>
    <col min="10012" max="10012" width="16" style="12" hidden="1"/>
    <col min="10013" max="10013" width="12.28515625" style="12" hidden="1"/>
    <col min="10014" max="10014" width="17.28515625" style="12" hidden="1"/>
    <col min="10015" max="10015" width="16.28515625" style="12" hidden="1"/>
    <col min="10016" max="10016" width="22.5703125" style="12" hidden="1"/>
    <col min="10017" max="10017" width="21.140625" style="12" hidden="1"/>
    <col min="10018" max="10018" width="23.42578125" style="12" hidden="1"/>
    <col min="10019" max="10240" width="10.85546875" style="12" hidden="1"/>
    <col min="10241" max="10241" width="19.7109375" style="12" hidden="1"/>
    <col min="10242" max="10242" width="19.42578125" style="12" hidden="1"/>
    <col min="10243" max="10243" width="10.42578125" style="12" hidden="1"/>
    <col min="10244" max="10244" width="16.42578125" style="12" hidden="1"/>
    <col min="10245" max="10245" width="27.28515625" style="12" hidden="1"/>
    <col min="10246" max="10246" width="10.140625" style="12" hidden="1"/>
    <col min="10247" max="10247" width="18.140625" style="12" hidden="1"/>
    <col min="10248" max="10248" width="21" style="12" hidden="1"/>
    <col min="10249" max="10249" width="23.7109375" style="12" hidden="1"/>
    <col min="10250" max="10250" width="10.7109375" style="12" hidden="1"/>
    <col min="10251" max="10251" width="25.42578125" style="12" hidden="1"/>
    <col min="10252" max="10252" width="12.42578125" style="12" hidden="1"/>
    <col min="10253" max="10253" width="13.42578125" style="12" hidden="1"/>
    <col min="10254" max="10254" width="10.28515625" style="12" hidden="1"/>
    <col min="10255" max="10263" width="15.42578125" style="12" hidden="1"/>
    <col min="10264" max="10264" width="15.85546875" style="12" hidden="1"/>
    <col min="10265" max="10265" width="13.42578125" style="12" hidden="1"/>
    <col min="10266" max="10266" width="12.85546875" style="12" hidden="1"/>
    <col min="10267" max="10267" width="13.42578125" style="12" hidden="1"/>
    <col min="10268" max="10268" width="16" style="12" hidden="1"/>
    <col min="10269" max="10269" width="12.28515625" style="12" hidden="1"/>
    <col min="10270" max="10270" width="17.28515625" style="12" hidden="1"/>
    <col min="10271" max="10271" width="16.28515625" style="12" hidden="1"/>
    <col min="10272" max="10272" width="22.5703125" style="12" hidden="1"/>
    <col min="10273" max="10273" width="21.140625" style="12" hidden="1"/>
    <col min="10274" max="10274" width="23.42578125" style="12" hidden="1"/>
    <col min="10275" max="10496" width="10.85546875" style="12" hidden="1"/>
    <col min="10497" max="10497" width="19.7109375" style="12" hidden="1"/>
    <col min="10498" max="10498" width="19.42578125" style="12" hidden="1"/>
    <col min="10499" max="10499" width="10.42578125" style="12" hidden="1"/>
    <col min="10500" max="10500" width="16.42578125" style="12" hidden="1"/>
    <col min="10501" max="10501" width="27.28515625" style="12" hidden="1"/>
    <col min="10502" max="10502" width="10.140625" style="12" hidden="1"/>
    <col min="10503" max="10503" width="18.140625" style="12" hidden="1"/>
    <col min="10504" max="10504" width="21" style="12" hidden="1"/>
    <col min="10505" max="10505" width="23.7109375" style="12" hidden="1"/>
    <col min="10506" max="10506" width="10.7109375" style="12" hidden="1"/>
    <col min="10507" max="10507" width="25.42578125" style="12" hidden="1"/>
    <col min="10508" max="10508" width="12.42578125" style="12" hidden="1"/>
    <col min="10509" max="10509" width="13.42578125" style="12" hidden="1"/>
    <col min="10510" max="10510" width="10.28515625" style="12" hidden="1"/>
    <col min="10511" max="10519" width="15.42578125" style="12" hidden="1"/>
    <col min="10520" max="10520" width="15.85546875" style="12" hidden="1"/>
    <col min="10521" max="10521" width="13.42578125" style="12" hidden="1"/>
    <col min="10522" max="10522" width="12.85546875" style="12" hidden="1"/>
    <col min="10523" max="10523" width="13.42578125" style="12" hidden="1"/>
    <col min="10524" max="10524" width="16" style="12" hidden="1"/>
    <col min="10525" max="10525" width="12.28515625" style="12" hidden="1"/>
    <col min="10526" max="10526" width="17.28515625" style="12" hidden="1"/>
    <col min="10527" max="10527" width="16.28515625" style="12" hidden="1"/>
    <col min="10528" max="10528" width="22.5703125" style="12" hidden="1"/>
    <col min="10529" max="10529" width="21.140625" style="12" hidden="1"/>
    <col min="10530" max="10530" width="23.42578125" style="12" hidden="1"/>
    <col min="10531" max="10752" width="10.85546875" style="12" hidden="1"/>
    <col min="10753" max="10753" width="19.7109375" style="12" hidden="1"/>
    <col min="10754" max="10754" width="19.42578125" style="12" hidden="1"/>
    <col min="10755" max="10755" width="10.42578125" style="12" hidden="1"/>
    <col min="10756" max="10756" width="16.42578125" style="12" hidden="1"/>
    <col min="10757" max="10757" width="27.28515625" style="12" hidden="1"/>
    <col min="10758" max="10758" width="10.140625" style="12" hidden="1"/>
    <col min="10759" max="10759" width="18.140625" style="12" hidden="1"/>
    <col min="10760" max="10760" width="21" style="12" hidden="1"/>
    <col min="10761" max="10761" width="23.7109375" style="12" hidden="1"/>
    <col min="10762" max="10762" width="10.7109375" style="12" hidden="1"/>
    <col min="10763" max="10763" width="25.42578125" style="12" hidden="1"/>
    <col min="10764" max="10764" width="12.42578125" style="12" hidden="1"/>
    <col min="10765" max="10765" width="13.42578125" style="12" hidden="1"/>
    <col min="10766" max="10766" width="10.28515625" style="12" hidden="1"/>
    <col min="10767" max="10775" width="15.42578125" style="12" hidden="1"/>
    <col min="10776" max="10776" width="15.85546875" style="12" hidden="1"/>
    <col min="10777" max="10777" width="13.42578125" style="12" hidden="1"/>
    <col min="10778" max="10778" width="12.85546875" style="12" hidden="1"/>
    <col min="10779" max="10779" width="13.42578125" style="12" hidden="1"/>
    <col min="10780" max="10780" width="16" style="12" hidden="1"/>
    <col min="10781" max="10781" width="12.28515625" style="12" hidden="1"/>
    <col min="10782" max="10782" width="17.28515625" style="12" hidden="1"/>
    <col min="10783" max="10783" width="16.28515625" style="12" hidden="1"/>
    <col min="10784" max="10784" width="22.5703125" style="12" hidden="1"/>
    <col min="10785" max="10785" width="21.140625" style="12" hidden="1"/>
    <col min="10786" max="10786" width="23.42578125" style="12" hidden="1"/>
    <col min="10787" max="11008" width="10.85546875" style="12" hidden="1"/>
    <col min="11009" max="11009" width="19.7109375" style="12" hidden="1"/>
    <col min="11010" max="11010" width="19.42578125" style="12" hidden="1"/>
    <col min="11011" max="11011" width="10.42578125" style="12" hidden="1"/>
    <col min="11012" max="11012" width="16.42578125" style="12" hidden="1"/>
    <col min="11013" max="11013" width="27.28515625" style="12" hidden="1"/>
    <col min="11014" max="11014" width="10.140625" style="12" hidden="1"/>
    <col min="11015" max="11015" width="18.140625" style="12" hidden="1"/>
    <col min="11016" max="11016" width="21" style="12" hidden="1"/>
    <col min="11017" max="11017" width="23.7109375" style="12" hidden="1"/>
    <col min="11018" max="11018" width="10.7109375" style="12" hidden="1"/>
    <col min="11019" max="11019" width="25.42578125" style="12" hidden="1"/>
    <col min="11020" max="11020" width="12.42578125" style="12" hidden="1"/>
    <col min="11021" max="11021" width="13.42578125" style="12" hidden="1"/>
    <col min="11022" max="11022" width="10.28515625" style="12" hidden="1"/>
    <col min="11023" max="11031" width="15.42578125" style="12" hidden="1"/>
    <col min="11032" max="11032" width="15.85546875" style="12" hidden="1"/>
    <col min="11033" max="11033" width="13.42578125" style="12" hidden="1"/>
    <col min="11034" max="11034" width="12.85546875" style="12" hidden="1"/>
    <col min="11035" max="11035" width="13.42578125" style="12" hidden="1"/>
    <col min="11036" max="11036" width="16" style="12" hidden="1"/>
    <col min="11037" max="11037" width="12.28515625" style="12" hidden="1"/>
    <col min="11038" max="11038" width="17.28515625" style="12" hidden="1"/>
    <col min="11039" max="11039" width="16.28515625" style="12" hidden="1"/>
    <col min="11040" max="11040" width="22.5703125" style="12" hidden="1"/>
    <col min="11041" max="11041" width="21.140625" style="12" hidden="1"/>
    <col min="11042" max="11042" width="23.42578125" style="12" hidden="1"/>
    <col min="11043" max="11264" width="10.85546875" style="12" hidden="1"/>
    <col min="11265" max="11265" width="19.7109375" style="12" hidden="1"/>
    <col min="11266" max="11266" width="19.42578125" style="12" hidden="1"/>
    <col min="11267" max="11267" width="10.42578125" style="12" hidden="1"/>
    <col min="11268" max="11268" width="16.42578125" style="12" hidden="1"/>
    <col min="11269" max="11269" width="27.28515625" style="12" hidden="1"/>
    <col min="11270" max="11270" width="10.140625" style="12" hidden="1"/>
    <col min="11271" max="11271" width="18.140625" style="12" hidden="1"/>
    <col min="11272" max="11272" width="21" style="12" hidden="1"/>
    <col min="11273" max="11273" width="23.7109375" style="12" hidden="1"/>
    <col min="11274" max="11274" width="10.7109375" style="12" hidden="1"/>
    <col min="11275" max="11275" width="25.42578125" style="12" hidden="1"/>
    <col min="11276" max="11276" width="12.42578125" style="12" hidden="1"/>
    <col min="11277" max="11277" width="13.42578125" style="12" hidden="1"/>
    <col min="11278" max="11278" width="10.28515625" style="12" hidden="1"/>
    <col min="11279" max="11287" width="15.42578125" style="12" hidden="1"/>
    <col min="11288" max="11288" width="15.85546875" style="12" hidden="1"/>
    <col min="11289" max="11289" width="13.42578125" style="12" hidden="1"/>
    <col min="11290" max="11290" width="12.85546875" style="12" hidden="1"/>
    <col min="11291" max="11291" width="13.42578125" style="12" hidden="1"/>
    <col min="11292" max="11292" width="16" style="12" hidden="1"/>
    <col min="11293" max="11293" width="12.28515625" style="12" hidden="1"/>
    <col min="11294" max="11294" width="17.28515625" style="12" hidden="1"/>
    <col min="11295" max="11295" width="16.28515625" style="12" hidden="1"/>
    <col min="11296" max="11296" width="22.5703125" style="12" hidden="1"/>
    <col min="11297" max="11297" width="21.140625" style="12" hidden="1"/>
    <col min="11298" max="11298" width="23.42578125" style="12" hidden="1"/>
    <col min="11299" max="11520" width="10.85546875" style="12" hidden="1"/>
    <col min="11521" max="11521" width="19.7109375" style="12" hidden="1"/>
    <col min="11522" max="11522" width="19.42578125" style="12" hidden="1"/>
    <col min="11523" max="11523" width="10.42578125" style="12" hidden="1"/>
    <col min="11524" max="11524" width="16.42578125" style="12" hidden="1"/>
    <col min="11525" max="11525" width="27.28515625" style="12" hidden="1"/>
    <col min="11526" max="11526" width="10.140625" style="12" hidden="1"/>
    <col min="11527" max="11527" width="18.140625" style="12" hidden="1"/>
    <col min="11528" max="11528" width="21" style="12" hidden="1"/>
    <col min="11529" max="11529" width="23.7109375" style="12" hidden="1"/>
    <col min="11530" max="11530" width="10.7109375" style="12" hidden="1"/>
    <col min="11531" max="11531" width="25.42578125" style="12" hidden="1"/>
    <col min="11532" max="11532" width="12.42578125" style="12" hidden="1"/>
    <col min="11533" max="11533" width="13.42578125" style="12" hidden="1"/>
    <col min="11534" max="11534" width="10.28515625" style="12" hidden="1"/>
    <col min="11535" max="11543" width="15.42578125" style="12" hidden="1"/>
    <col min="11544" max="11544" width="15.85546875" style="12" hidden="1"/>
    <col min="11545" max="11545" width="13.42578125" style="12" hidden="1"/>
    <col min="11546" max="11546" width="12.85546875" style="12" hidden="1"/>
    <col min="11547" max="11547" width="13.42578125" style="12" hidden="1"/>
    <col min="11548" max="11548" width="16" style="12" hidden="1"/>
    <col min="11549" max="11549" width="12.28515625" style="12" hidden="1"/>
    <col min="11550" max="11550" width="17.28515625" style="12" hidden="1"/>
    <col min="11551" max="11551" width="16.28515625" style="12" hidden="1"/>
    <col min="11552" max="11552" width="22.5703125" style="12" hidden="1"/>
    <col min="11553" max="11553" width="21.140625" style="12" hidden="1"/>
    <col min="11554" max="11554" width="23.42578125" style="12" hidden="1"/>
    <col min="11555" max="11776" width="10.85546875" style="12" hidden="1"/>
    <col min="11777" max="11777" width="19.7109375" style="12" hidden="1"/>
    <col min="11778" max="11778" width="19.42578125" style="12" hidden="1"/>
    <col min="11779" max="11779" width="10.42578125" style="12" hidden="1"/>
    <col min="11780" max="11780" width="16.42578125" style="12" hidden="1"/>
    <col min="11781" max="11781" width="27.28515625" style="12" hidden="1"/>
    <col min="11782" max="11782" width="10.140625" style="12" hidden="1"/>
    <col min="11783" max="11783" width="18.140625" style="12" hidden="1"/>
    <col min="11784" max="11784" width="21" style="12" hidden="1"/>
    <col min="11785" max="11785" width="23.7109375" style="12" hidden="1"/>
    <col min="11786" max="11786" width="10.7109375" style="12" hidden="1"/>
    <col min="11787" max="11787" width="25.42578125" style="12" hidden="1"/>
    <col min="11788" max="11788" width="12.42578125" style="12" hidden="1"/>
    <col min="11789" max="11789" width="13.42578125" style="12" hidden="1"/>
    <col min="11790" max="11790" width="10.28515625" style="12" hidden="1"/>
    <col min="11791" max="11799" width="15.42578125" style="12" hidden="1"/>
    <col min="11800" max="11800" width="15.85546875" style="12" hidden="1"/>
    <col min="11801" max="11801" width="13.42578125" style="12" hidden="1"/>
    <col min="11802" max="11802" width="12.85546875" style="12" hidden="1"/>
    <col min="11803" max="11803" width="13.42578125" style="12" hidden="1"/>
    <col min="11804" max="11804" width="16" style="12" hidden="1"/>
    <col min="11805" max="11805" width="12.28515625" style="12" hidden="1"/>
    <col min="11806" max="11806" width="17.28515625" style="12" hidden="1"/>
    <col min="11807" max="11807" width="16.28515625" style="12" hidden="1"/>
    <col min="11808" max="11808" width="22.5703125" style="12" hidden="1"/>
    <col min="11809" max="11809" width="21.140625" style="12" hidden="1"/>
    <col min="11810" max="11810" width="23.42578125" style="12" hidden="1"/>
    <col min="11811" max="12032" width="10.85546875" style="12" hidden="1"/>
    <col min="12033" max="12033" width="19.7109375" style="12" hidden="1"/>
    <col min="12034" max="12034" width="19.42578125" style="12" hidden="1"/>
    <col min="12035" max="12035" width="10.42578125" style="12" hidden="1"/>
    <col min="12036" max="12036" width="16.42578125" style="12" hidden="1"/>
    <col min="12037" max="12037" width="27.28515625" style="12" hidden="1"/>
    <col min="12038" max="12038" width="10.140625" style="12" hidden="1"/>
    <col min="12039" max="12039" width="18.140625" style="12" hidden="1"/>
    <col min="12040" max="12040" width="21" style="12" hidden="1"/>
    <col min="12041" max="12041" width="23.7109375" style="12" hidden="1"/>
    <col min="12042" max="12042" width="10.7109375" style="12" hidden="1"/>
    <col min="12043" max="12043" width="25.42578125" style="12" hidden="1"/>
    <col min="12044" max="12044" width="12.42578125" style="12" hidden="1"/>
    <col min="12045" max="12045" width="13.42578125" style="12" hidden="1"/>
    <col min="12046" max="12046" width="10.28515625" style="12" hidden="1"/>
    <col min="12047" max="12055" width="15.42578125" style="12" hidden="1"/>
    <col min="12056" max="12056" width="15.85546875" style="12" hidden="1"/>
    <col min="12057" max="12057" width="13.42578125" style="12" hidden="1"/>
    <col min="12058" max="12058" width="12.85546875" style="12" hidden="1"/>
    <col min="12059" max="12059" width="13.42578125" style="12" hidden="1"/>
    <col min="12060" max="12060" width="16" style="12" hidden="1"/>
    <col min="12061" max="12061" width="12.28515625" style="12" hidden="1"/>
    <col min="12062" max="12062" width="17.28515625" style="12" hidden="1"/>
    <col min="12063" max="12063" width="16.28515625" style="12" hidden="1"/>
    <col min="12064" max="12064" width="22.5703125" style="12" hidden="1"/>
    <col min="12065" max="12065" width="21.140625" style="12" hidden="1"/>
    <col min="12066" max="12066" width="23.42578125" style="12" hidden="1"/>
    <col min="12067" max="12288" width="10.85546875" style="12" hidden="1"/>
    <col min="12289" max="12289" width="19.7109375" style="12" hidden="1"/>
    <col min="12290" max="12290" width="19.42578125" style="12" hidden="1"/>
    <col min="12291" max="12291" width="10.42578125" style="12" hidden="1"/>
    <col min="12292" max="12292" width="16.42578125" style="12" hidden="1"/>
    <col min="12293" max="12293" width="27.28515625" style="12" hidden="1"/>
    <col min="12294" max="12294" width="10.140625" style="12" hidden="1"/>
    <col min="12295" max="12295" width="18.140625" style="12" hidden="1"/>
    <col min="12296" max="12296" width="21" style="12" hidden="1"/>
    <col min="12297" max="12297" width="23.7109375" style="12" hidden="1"/>
    <col min="12298" max="12298" width="10.7109375" style="12" hidden="1"/>
    <col min="12299" max="12299" width="25.42578125" style="12" hidden="1"/>
    <col min="12300" max="12300" width="12.42578125" style="12" hidden="1"/>
    <col min="12301" max="12301" width="13.42578125" style="12" hidden="1"/>
    <col min="12302" max="12302" width="10.28515625" style="12" hidden="1"/>
    <col min="12303" max="12311" width="15.42578125" style="12" hidden="1"/>
    <col min="12312" max="12312" width="15.85546875" style="12" hidden="1"/>
    <col min="12313" max="12313" width="13.42578125" style="12" hidden="1"/>
    <col min="12314" max="12314" width="12.85546875" style="12" hidden="1"/>
    <col min="12315" max="12315" width="13.42578125" style="12" hidden="1"/>
    <col min="12316" max="12316" width="16" style="12" hidden="1"/>
    <col min="12317" max="12317" width="12.28515625" style="12" hidden="1"/>
    <col min="12318" max="12318" width="17.28515625" style="12" hidden="1"/>
    <col min="12319" max="12319" width="16.28515625" style="12" hidden="1"/>
    <col min="12320" max="12320" width="22.5703125" style="12" hidden="1"/>
    <col min="12321" max="12321" width="21.140625" style="12" hidden="1"/>
    <col min="12322" max="12322" width="23.42578125" style="12" hidden="1"/>
    <col min="12323" max="12544" width="10.85546875" style="12" hidden="1"/>
    <col min="12545" max="12545" width="19.7109375" style="12" hidden="1"/>
    <col min="12546" max="12546" width="19.42578125" style="12" hidden="1"/>
    <col min="12547" max="12547" width="10.42578125" style="12" hidden="1"/>
    <col min="12548" max="12548" width="16.42578125" style="12" hidden="1"/>
    <col min="12549" max="12549" width="27.28515625" style="12" hidden="1"/>
    <col min="12550" max="12550" width="10.140625" style="12" hidden="1"/>
    <col min="12551" max="12551" width="18.140625" style="12" hidden="1"/>
    <col min="12552" max="12552" width="21" style="12" hidden="1"/>
    <col min="12553" max="12553" width="23.7109375" style="12" hidden="1"/>
    <col min="12554" max="12554" width="10.7109375" style="12" hidden="1"/>
    <col min="12555" max="12555" width="25.42578125" style="12" hidden="1"/>
    <col min="12556" max="12556" width="12.42578125" style="12" hidden="1"/>
    <col min="12557" max="12557" width="13.42578125" style="12" hidden="1"/>
    <col min="12558" max="12558" width="10.28515625" style="12" hidden="1"/>
    <col min="12559" max="12567" width="15.42578125" style="12" hidden="1"/>
    <col min="12568" max="12568" width="15.85546875" style="12" hidden="1"/>
    <col min="12569" max="12569" width="13.42578125" style="12" hidden="1"/>
    <col min="12570" max="12570" width="12.85546875" style="12" hidden="1"/>
    <col min="12571" max="12571" width="13.42578125" style="12" hidden="1"/>
    <col min="12572" max="12572" width="16" style="12" hidden="1"/>
    <col min="12573" max="12573" width="12.28515625" style="12" hidden="1"/>
    <col min="12574" max="12574" width="17.28515625" style="12" hidden="1"/>
    <col min="12575" max="12575" width="16.28515625" style="12" hidden="1"/>
    <col min="12576" max="12576" width="22.5703125" style="12" hidden="1"/>
    <col min="12577" max="12577" width="21.140625" style="12" hidden="1"/>
    <col min="12578" max="12578" width="23.42578125" style="12" hidden="1"/>
    <col min="12579" max="12800" width="10.85546875" style="12" hidden="1"/>
    <col min="12801" max="12801" width="19.7109375" style="12" hidden="1"/>
    <col min="12802" max="12802" width="19.42578125" style="12" hidden="1"/>
    <col min="12803" max="12803" width="10.42578125" style="12" hidden="1"/>
    <col min="12804" max="12804" width="16.42578125" style="12" hidden="1"/>
    <col min="12805" max="12805" width="27.28515625" style="12" hidden="1"/>
    <col min="12806" max="12806" width="10.140625" style="12" hidden="1"/>
    <col min="12807" max="12807" width="18.140625" style="12" hidden="1"/>
    <col min="12808" max="12808" width="21" style="12" hidden="1"/>
    <col min="12809" max="12809" width="23.7109375" style="12" hidden="1"/>
    <col min="12810" max="12810" width="10.7109375" style="12" hidden="1"/>
    <col min="12811" max="12811" width="25.42578125" style="12" hidden="1"/>
    <col min="12812" max="12812" width="12.42578125" style="12" hidden="1"/>
    <col min="12813" max="12813" width="13.42578125" style="12" hidden="1"/>
    <col min="12814" max="12814" width="10.28515625" style="12" hidden="1"/>
    <col min="12815" max="12823" width="15.42578125" style="12" hidden="1"/>
    <col min="12824" max="12824" width="15.85546875" style="12" hidden="1"/>
    <col min="12825" max="12825" width="13.42578125" style="12" hidden="1"/>
    <col min="12826" max="12826" width="12.85546875" style="12" hidden="1"/>
    <col min="12827" max="12827" width="13.42578125" style="12" hidden="1"/>
    <col min="12828" max="12828" width="16" style="12" hidden="1"/>
    <col min="12829" max="12829" width="12.28515625" style="12" hidden="1"/>
    <col min="12830" max="12830" width="17.28515625" style="12" hidden="1"/>
    <col min="12831" max="12831" width="16.28515625" style="12" hidden="1"/>
    <col min="12832" max="12832" width="22.5703125" style="12" hidden="1"/>
    <col min="12833" max="12833" width="21.140625" style="12" hidden="1"/>
    <col min="12834" max="12834" width="23.42578125" style="12" hidden="1"/>
    <col min="12835" max="13056" width="10.85546875" style="12" hidden="1"/>
    <col min="13057" max="13057" width="19.7109375" style="12" hidden="1"/>
    <col min="13058" max="13058" width="19.42578125" style="12" hidden="1"/>
    <col min="13059" max="13059" width="10.42578125" style="12" hidden="1"/>
    <col min="13060" max="13060" width="16.42578125" style="12" hidden="1"/>
    <col min="13061" max="13061" width="27.28515625" style="12" hidden="1"/>
    <col min="13062" max="13062" width="10.140625" style="12" hidden="1"/>
    <col min="13063" max="13063" width="18.140625" style="12" hidden="1"/>
    <col min="13064" max="13064" width="21" style="12" hidden="1"/>
    <col min="13065" max="13065" width="23.7109375" style="12" hidden="1"/>
    <col min="13066" max="13066" width="10.7109375" style="12" hidden="1"/>
    <col min="13067" max="13067" width="25.42578125" style="12" hidden="1"/>
    <col min="13068" max="13068" width="12.42578125" style="12" hidden="1"/>
    <col min="13069" max="13069" width="13.42578125" style="12" hidden="1"/>
    <col min="13070" max="13070" width="10.28515625" style="12" hidden="1"/>
    <col min="13071" max="13079" width="15.42578125" style="12" hidden="1"/>
    <col min="13080" max="13080" width="15.85546875" style="12" hidden="1"/>
    <col min="13081" max="13081" width="13.42578125" style="12" hidden="1"/>
    <col min="13082" max="13082" width="12.85546875" style="12" hidden="1"/>
    <col min="13083" max="13083" width="13.42578125" style="12" hidden="1"/>
    <col min="13084" max="13084" width="16" style="12" hidden="1"/>
    <col min="13085" max="13085" width="12.28515625" style="12" hidden="1"/>
    <col min="13086" max="13086" width="17.28515625" style="12" hidden="1"/>
    <col min="13087" max="13087" width="16.28515625" style="12" hidden="1"/>
    <col min="13088" max="13088" width="22.5703125" style="12" hidden="1"/>
    <col min="13089" max="13089" width="21.140625" style="12" hidden="1"/>
    <col min="13090" max="13090" width="23.42578125" style="12" hidden="1"/>
    <col min="13091" max="13312" width="10.85546875" style="12" hidden="1"/>
    <col min="13313" max="13313" width="19.7109375" style="12" hidden="1"/>
    <col min="13314" max="13314" width="19.42578125" style="12" hidden="1"/>
    <col min="13315" max="13315" width="10.42578125" style="12" hidden="1"/>
    <col min="13316" max="13316" width="16.42578125" style="12" hidden="1"/>
    <col min="13317" max="13317" width="27.28515625" style="12" hidden="1"/>
    <col min="13318" max="13318" width="10.140625" style="12" hidden="1"/>
    <col min="13319" max="13319" width="18.140625" style="12" hidden="1"/>
    <col min="13320" max="13320" width="21" style="12" hidden="1"/>
    <col min="13321" max="13321" width="23.7109375" style="12" hidden="1"/>
    <col min="13322" max="13322" width="10.7109375" style="12" hidden="1"/>
    <col min="13323" max="13323" width="25.42578125" style="12" hidden="1"/>
    <col min="13324" max="13324" width="12.42578125" style="12" hidden="1"/>
    <col min="13325" max="13325" width="13.42578125" style="12" hidden="1"/>
    <col min="13326" max="13326" width="10.28515625" style="12" hidden="1"/>
    <col min="13327" max="13335" width="15.42578125" style="12" hidden="1"/>
    <col min="13336" max="13336" width="15.85546875" style="12" hidden="1"/>
    <col min="13337" max="13337" width="13.42578125" style="12" hidden="1"/>
    <col min="13338" max="13338" width="12.85546875" style="12" hidden="1"/>
    <col min="13339" max="13339" width="13.42578125" style="12" hidden="1"/>
    <col min="13340" max="13340" width="16" style="12" hidden="1"/>
    <col min="13341" max="13341" width="12.28515625" style="12" hidden="1"/>
    <col min="13342" max="13342" width="17.28515625" style="12" hidden="1"/>
    <col min="13343" max="13343" width="16.28515625" style="12" hidden="1"/>
    <col min="13344" max="13344" width="22.5703125" style="12" hidden="1"/>
    <col min="13345" max="13345" width="21.140625" style="12" hidden="1"/>
    <col min="13346" max="13346" width="23.42578125" style="12" hidden="1"/>
    <col min="13347" max="13568" width="10.85546875" style="12" hidden="1"/>
    <col min="13569" max="13569" width="19.7109375" style="12" hidden="1"/>
    <col min="13570" max="13570" width="19.42578125" style="12" hidden="1"/>
    <col min="13571" max="13571" width="10.42578125" style="12" hidden="1"/>
    <col min="13572" max="13572" width="16.42578125" style="12" hidden="1"/>
    <col min="13573" max="13573" width="27.28515625" style="12" hidden="1"/>
    <col min="13574" max="13574" width="10.140625" style="12" hidden="1"/>
    <col min="13575" max="13575" width="18.140625" style="12" hidden="1"/>
    <col min="13576" max="13576" width="21" style="12" hidden="1"/>
    <col min="13577" max="13577" width="23.7109375" style="12" hidden="1"/>
    <col min="13578" max="13578" width="10.7109375" style="12" hidden="1"/>
    <col min="13579" max="13579" width="25.42578125" style="12" hidden="1"/>
    <col min="13580" max="13580" width="12.42578125" style="12" hidden="1"/>
    <col min="13581" max="13581" width="13.42578125" style="12" hidden="1"/>
    <col min="13582" max="13582" width="10.28515625" style="12" hidden="1"/>
    <col min="13583" max="13591" width="15.42578125" style="12" hidden="1"/>
    <col min="13592" max="13592" width="15.85546875" style="12" hidden="1"/>
    <col min="13593" max="13593" width="13.42578125" style="12" hidden="1"/>
    <col min="13594" max="13594" width="12.85546875" style="12" hidden="1"/>
    <col min="13595" max="13595" width="13.42578125" style="12" hidden="1"/>
    <col min="13596" max="13596" width="16" style="12" hidden="1"/>
    <col min="13597" max="13597" width="12.28515625" style="12" hidden="1"/>
    <col min="13598" max="13598" width="17.28515625" style="12" hidden="1"/>
    <col min="13599" max="13599" width="16.28515625" style="12" hidden="1"/>
    <col min="13600" max="13600" width="22.5703125" style="12" hidden="1"/>
    <col min="13601" max="13601" width="21.140625" style="12" hidden="1"/>
    <col min="13602" max="13602" width="23.42578125" style="12" hidden="1"/>
    <col min="13603" max="13824" width="10.85546875" style="12" hidden="1"/>
    <col min="13825" max="13825" width="19.7109375" style="12" hidden="1"/>
    <col min="13826" max="13826" width="19.42578125" style="12" hidden="1"/>
    <col min="13827" max="13827" width="10.42578125" style="12" hidden="1"/>
    <col min="13828" max="13828" width="16.42578125" style="12" hidden="1"/>
    <col min="13829" max="13829" width="27.28515625" style="12" hidden="1"/>
    <col min="13830" max="13830" width="10.140625" style="12" hidden="1"/>
    <col min="13831" max="13831" width="18.140625" style="12" hidden="1"/>
    <col min="13832" max="13832" width="21" style="12" hidden="1"/>
    <col min="13833" max="13833" width="23.7109375" style="12" hidden="1"/>
    <col min="13834" max="13834" width="10.7109375" style="12" hidden="1"/>
    <col min="13835" max="13835" width="25.42578125" style="12" hidden="1"/>
    <col min="13836" max="13836" width="12.42578125" style="12" hidden="1"/>
    <col min="13837" max="13837" width="13.42578125" style="12" hidden="1"/>
    <col min="13838" max="13838" width="10.28515625" style="12" hidden="1"/>
    <col min="13839" max="13847" width="15.42578125" style="12" hidden="1"/>
    <col min="13848" max="13848" width="15.85546875" style="12" hidden="1"/>
    <col min="13849" max="13849" width="13.42578125" style="12" hidden="1"/>
    <col min="13850" max="13850" width="12.85546875" style="12" hidden="1"/>
    <col min="13851" max="13851" width="13.42578125" style="12" hidden="1"/>
    <col min="13852" max="13852" width="16" style="12" hidden="1"/>
    <col min="13853" max="13853" width="12.28515625" style="12" hidden="1"/>
    <col min="13854" max="13854" width="17.28515625" style="12" hidden="1"/>
    <col min="13855" max="13855" width="16.28515625" style="12" hidden="1"/>
    <col min="13856" max="13856" width="22.5703125" style="12" hidden="1"/>
    <col min="13857" max="13857" width="21.140625" style="12" hidden="1"/>
    <col min="13858" max="13858" width="23.42578125" style="12" hidden="1"/>
    <col min="13859" max="14080" width="10.85546875" style="12" hidden="1"/>
    <col min="14081" max="14081" width="19.7109375" style="12" hidden="1"/>
    <col min="14082" max="14082" width="19.42578125" style="12" hidden="1"/>
    <col min="14083" max="14083" width="10.42578125" style="12" hidden="1"/>
    <col min="14084" max="14084" width="16.42578125" style="12" hidden="1"/>
    <col min="14085" max="14085" width="27.28515625" style="12" hidden="1"/>
    <col min="14086" max="14086" width="10.140625" style="12" hidden="1"/>
    <col min="14087" max="14087" width="18.140625" style="12" hidden="1"/>
    <col min="14088" max="14088" width="21" style="12" hidden="1"/>
    <col min="14089" max="14089" width="23.7109375" style="12" hidden="1"/>
    <col min="14090" max="14090" width="10.7109375" style="12" hidden="1"/>
    <col min="14091" max="14091" width="25.42578125" style="12" hidden="1"/>
    <col min="14092" max="14092" width="12.42578125" style="12" hidden="1"/>
    <col min="14093" max="14093" width="13.42578125" style="12" hidden="1"/>
    <col min="14094" max="14094" width="10.28515625" style="12" hidden="1"/>
    <col min="14095" max="14103" width="15.42578125" style="12" hidden="1"/>
    <col min="14104" max="14104" width="15.85546875" style="12" hidden="1"/>
    <col min="14105" max="14105" width="13.42578125" style="12" hidden="1"/>
    <col min="14106" max="14106" width="12.85546875" style="12" hidden="1"/>
    <col min="14107" max="14107" width="13.42578125" style="12" hidden="1"/>
    <col min="14108" max="14108" width="16" style="12" hidden="1"/>
    <col min="14109" max="14109" width="12.28515625" style="12" hidden="1"/>
    <col min="14110" max="14110" width="17.28515625" style="12" hidden="1"/>
    <col min="14111" max="14111" width="16.28515625" style="12" hidden="1"/>
    <col min="14112" max="14112" width="22.5703125" style="12" hidden="1"/>
    <col min="14113" max="14113" width="21.140625" style="12" hidden="1"/>
    <col min="14114" max="14114" width="23.42578125" style="12" hidden="1"/>
    <col min="14115" max="14336" width="10.85546875" style="12" hidden="1"/>
    <col min="14337" max="14337" width="19.7109375" style="12" hidden="1"/>
    <col min="14338" max="14338" width="19.42578125" style="12" hidden="1"/>
    <col min="14339" max="14339" width="10.42578125" style="12" hidden="1"/>
    <col min="14340" max="14340" width="16.42578125" style="12" hidden="1"/>
    <col min="14341" max="14341" width="27.28515625" style="12" hidden="1"/>
    <col min="14342" max="14342" width="10.140625" style="12" hidden="1"/>
    <col min="14343" max="14343" width="18.140625" style="12" hidden="1"/>
    <col min="14344" max="14344" width="21" style="12" hidden="1"/>
    <col min="14345" max="14345" width="23.7109375" style="12" hidden="1"/>
    <col min="14346" max="14346" width="10.7109375" style="12" hidden="1"/>
    <col min="14347" max="14347" width="25.42578125" style="12" hidden="1"/>
    <col min="14348" max="14348" width="12.42578125" style="12" hidden="1"/>
    <col min="14349" max="14349" width="13.42578125" style="12" hidden="1"/>
    <col min="14350" max="14350" width="10.28515625" style="12" hidden="1"/>
    <col min="14351" max="14359" width="15.42578125" style="12" hidden="1"/>
    <col min="14360" max="14360" width="15.85546875" style="12" hidden="1"/>
    <col min="14361" max="14361" width="13.42578125" style="12" hidden="1"/>
    <col min="14362" max="14362" width="12.85546875" style="12" hidden="1"/>
    <col min="14363" max="14363" width="13.42578125" style="12" hidden="1"/>
    <col min="14364" max="14364" width="16" style="12" hidden="1"/>
    <col min="14365" max="14365" width="12.28515625" style="12" hidden="1"/>
    <col min="14366" max="14366" width="17.28515625" style="12" hidden="1"/>
    <col min="14367" max="14367" width="16.28515625" style="12" hidden="1"/>
    <col min="14368" max="14368" width="22.5703125" style="12" hidden="1"/>
    <col min="14369" max="14369" width="21.140625" style="12" hidden="1"/>
    <col min="14370" max="14370" width="23.42578125" style="12" hidden="1"/>
    <col min="14371" max="14592" width="10.85546875" style="12" hidden="1"/>
    <col min="14593" max="14593" width="19.7109375" style="12" hidden="1"/>
    <col min="14594" max="14594" width="19.42578125" style="12" hidden="1"/>
    <col min="14595" max="14595" width="10.42578125" style="12" hidden="1"/>
    <col min="14596" max="14596" width="16.42578125" style="12" hidden="1"/>
    <col min="14597" max="14597" width="27.28515625" style="12" hidden="1"/>
    <col min="14598" max="14598" width="10.140625" style="12" hidden="1"/>
    <col min="14599" max="14599" width="18.140625" style="12" hidden="1"/>
    <col min="14600" max="14600" width="21" style="12" hidden="1"/>
    <col min="14601" max="14601" width="23.7109375" style="12" hidden="1"/>
    <col min="14602" max="14602" width="10.7109375" style="12" hidden="1"/>
    <col min="14603" max="14603" width="25.42578125" style="12" hidden="1"/>
    <col min="14604" max="14604" width="12.42578125" style="12" hidden="1"/>
    <col min="14605" max="14605" width="13.42578125" style="12" hidden="1"/>
    <col min="14606" max="14606" width="10.28515625" style="12" hidden="1"/>
    <col min="14607" max="14615" width="15.42578125" style="12" hidden="1"/>
    <col min="14616" max="14616" width="15.85546875" style="12" hidden="1"/>
    <col min="14617" max="14617" width="13.42578125" style="12" hidden="1"/>
    <col min="14618" max="14618" width="12.85546875" style="12" hidden="1"/>
    <col min="14619" max="14619" width="13.42578125" style="12" hidden="1"/>
    <col min="14620" max="14620" width="16" style="12" hidden="1"/>
    <col min="14621" max="14621" width="12.28515625" style="12" hidden="1"/>
    <col min="14622" max="14622" width="17.28515625" style="12" hidden="1"/>
    <col min="14623" max="14623" width="16.28515625" style="12" hidden="1"/>
    <col min="14624" max="14624" width="22.5703125" style="12" hidden="1"/>
    <col min="14625" max="14625" width="21.140625" style="12" hidden="1"/>
    <col min="14626" max="14626" width="23.42578125" style="12" hidden="1"/>
    <col min="14627" max="14848" width="10.85546875" style="12" hidden="1"/>
    <col min="14849" max="14849" width="19.7109375" style="12" hidden="1"/>
    <col min="14850" max="14850" width="19.42578125" style="12" hidden="1"/>
    <col min="14851" max="14851" width="10.42578125" style="12" hidden="1"/>
    <col min="14852" max="14852" width="16.42578125" style="12" hidden="1"/>
    <col min="14853" max="14853" width="27.28515625" style="12" hidden="1"/>
    <col min="14854" max="14854" width="10.140625" style="12" hidden="1"/>
    <col min="14855" max="14855" width="18.140625" style="12" hidden="1"/>
    <col min="14856" max="14856" width="21" style="12" hidden="1"/>
    <col min="14857" max="14857" width="23.7109375" style="12" hidden="1"/>
    <col min="14858" max="14858" width="10.7109375" style="12" hidden="1"/>
    <col min="14859" max="14859" width="25.42578125" style="12" hidden="1"/>
    <col min="14860" max="14860" width="12.42578125" style="12" hidden="1"/>
    <col min="14861" max="14861" width="13.42578125" style="12" hidden="1"/>
    <col min="14862" max="14862" width="10.28515625" style="12" hidden="1"/>
    <col min="14863" max="14871" width="15.42578125" style="12" hidden="1"/>
    <col min="14872" max="14872" width="15.85546875" style="12" hidden="1"/>
    <col min="14873" max="14873" width="13.42578125" style="12" hidden="1"/>
    <col min="14874" max="14874" width="12.85546875" style="12" hidden="1"/>
    <col min="14875" max="14875" width="13.42578125" style="12" hidden="1"/>
    <col min="14876" max="14876" width="16" style="12" hidden="1"/>
    <col min="14877" max="14877" width="12.28515625" style="12" hidden="1"/>
    <col min="14878" max="14878" width="17.28515625" style="12" hidden="1"/>
    <col min="14879" max="14879" width="16.28515625" style="12" hidden="1"/>
    <col min="14880" max="14880" width="22.5703125" style="12" hidden="1"/>
    <col min="14881" max="14881" width="21.140625" style="12" hidden="1"/>
    <col min="14882" max="14882" width="23.42578125" style="12" hidden="1"/>
    <col min="14883" max="15104" width="10.85546875" style="12" hidden="1"/>
    <col min="15105" max="15105" width="19.7109375" style="12" hidden="1"/>
    <col min="15106" max="15106" width="19.42578125" style="12" hidden="1"/>
    <col min="15107" max="15107" width="10.42578125" style="12" hidden="1"/>
    <col min="15108" max="15108" width="16.42578125" style="12" hidden="1"/>
    <col min="15109" max="15109" width="27.28515625" style="12" hidden="1"/>
    <col min="15110" max="15110" width="10.140625" style="12" hidden="1"/>
    <col min="15111" max="15111" width="18.140625" style="12" hidden="1"/>
    <col min="15112" max="15112" width="21" style="12" hidden="1"/>
    <col min="15113" max="15113" width="23.7109375" style="12" hidden="1"/>
    <col min="15114" max="15114" width="10.7109375" style="12" hidden="1"/>
    <col min="15115" max="15115" width="25.42578125" style="12" hidden="1"/>
    <col min="15116" max="15116" width="12.42578125" style="12" hidden="1"/>
    <col min="15117" max="15117" width="13.42578125" style="12" hidden="1"/>
    <col min="15118" max="15118" width="10.28515625" style="12" hidden="1"/>
    <col min="15119" max="15127" width="15.42578125" style="12" hidden="1"/>
    <col min="15128" max="15128" width="15.85546875" style="12" hidden="1"/>
    <col min="15129" max="15129" width="13.42578125" style="12" hidden="1"/>
    <col min="15130" max="15130" width="12.85546875" style="12" hidden="1"/>
    <col min="15131" max="15131" width="13.42578125" style="12" hidden="1"/>
    <col min="15132" max="15132" width="16" style="12" hidden="1"/>
    <col min="15133" max="15133" width="12.28515625" style="12" hidden="1"/>
    <col min="15134" max="15134" width="17.28515625" style="12" hidden="1"/>
    <col min="15135" max="15135" width="16.28515625" style="12" hidden="1"/>
    <col min="15136" max="15136" width="22.5703125" style="12" hidden="1"/>
    <col min="15137" max="15137" width="21.140625" style="12" hidden="1"/>
    <col min="15138" max="15138" width="23.42578125" style="12" hidden="1"/>
    <col min="15139" max="15360" width="10.85546875" style="12" hidden="1"/>
    <col min="15361" max="15361" width="19.7109375" style="12" hidden="1"/>
    <col min="15362" max="15362" width="19.42578125" style="12" hidden="1"/>
    <col min="15363" max="15363" width="10.42578125" style="12" hidden="1"/>
    <col min="15364" max="15364" width="16.42578125" style="12" hidden="1"/>
    <col min="15365" max="15365" width="27.28515625" style="12" hidden="1"/>
    <col min="15366" max="15366" width="10.140625" style="12" hidden="1"/>
    <col min="15367" max="15367" width="18.140625" style="12" hidden="1"/>
    <col min="15368" max="15368" width="21" style="12" hidden="1"/>
    <col min="15369" max="15369" width="23.7109375" style="12" hidden="1"/>
    <col min="15370" max="15370" width="10.7109375" style="12" hidden="1"/>
    <col min="15371" max="15371" width="25.42578125" style="12" hidden="1"/>
    <col min="15372" max="15372" width="12.42578125" style="12" hidden="1"/>
    <col min="15373" max="15373" width="13.42578125" style="12" hidden="1"/>
    <col min="15374" max="15374" width="10.28515625" style="12" hidden="1"/>
    <col min="15375" max="15383" width="15.42578125" style="12" hidden="1"/>
    <col min="15384" max="15384" width="15.85546875" style="12" hidden="1"/>
    <col min="15385" max="15385" width="13.42578125" style="12" hidden="1"/>
    <col min="15386" max="15386" width="12.85546875" style="12" hidden="1"/>
    <col min="15387" max="15387" width="13.42578125" style="12" hidden="1"/>
    <col min="15388" max="15388" width="16" style="12" hidden="1"/>
    <col min="15389" max="15389" width="12.28515625" style="12" hidden="1"/>
    <col min="15390" max="15390" width="17.28515625" style="12" hidden="1"/>
    <col min="15391" max="15391" width="16.28515625" style="12" hidden="1"/>
    <col min="15392" max="15392" width="22.5703125" style="12" hidden="1"/>
    <col min="15393" max="15393" width="21.140625" style="12" hidden="1"/>
    <col min="15394" max="15394" width="23.42578125" style="12" hidden="1"/>
    <col min="15395" max="15616" width="10.85546875" style="12" hidden="1"/>
    <col min="15617" max="15617" width="19.7109375" style="12" hidden="1"/>
    <col min="15618" max="15618" width="19.42578125" style="12" hidden="1"/>
    <col min="15619" max="15619" width="10.42578125" style="12" hidden="1"/>
    <col min="15620" max="15620" width="16.42578125" style="12" hidden="1"/>
    <col min="15621" max="15621" width="27.28515625" style="12" hidden="1"/>
    <col min="15622" max="15622" width="10.140625" style="12" hidden="1"/>
    <col min="15623" max="15623" width="18.140625" style="12" hidden="1"/>
    <col min="15624" max="15624" width="21" style="12" hidden="1"/>
    <col min="15625" max="15625" width="23.7109375" style="12" hidden="1"/>
    <col min="15626" max="15626" width="10.7109375" style="12" hidden="1"/>
    <col min="15627" max="15627" width="25.42578125" style="12" hidden="1"/>
    <col min="15628" max="15628" width="12.42578125" style="12" hidden="1"/>
    <col min="15629" max="15629" width="13.42578125" style="12" hidden="1"/>
    <col min="15630" max="15630" width="10.28515625" style="12" hidden="1"/>
    <col min="15631" max="15639" width="15.42578125" style="12" hidden="1"/>
    <col min="15640" max="15640" width="15.85546875" style="12" hidden="1"/>
    <col min="15641" max="15641" width="13.42578125" style="12" hidden="1"/>
    <col min="15642" max="15642" width="12.85546875" style="12" hidden="1"/>
    <col min="15643" max="15643" width="13.42578125" style="12" hidden="1"/>
    <col min="15644" max="15644" width="16" style="12" hidden="1"/>
    <col min="15645" max="15645" width="12.28515625" style="12" hidden="1"/>
    <col min="15646" max="15646" width="17.28515625" style="12" hidden="1"/>
    <col min="15647" max="15647" width="16.28515625" style="12" hidden="1"/>
    <col min="15648" max="15648" width="22.5703125" style="12" hidden="1"/>
    <col min="15649" max="15649" width="21.140625" style="12" hidden="1"/>
    <col min="15650" max="15650" width="23.42578125" style="12" hidden="1"/>
    <col min="15651" max="15872" width="10.85546875" style="12" hidden="1"/>
    <col min="15873" max="15873" width="19.7109375" style="12" hidden="1"/>
    <col min="15874" max="15874" width="19.42578125" style="12" hidden="1"/>
    <col min="15875" max="15875" width="10.42578125" style="12" hidden="1"/>
    <col min="15876" max="15876" width="16.42578125" style="12" hidden="1"/>
    <col min="15877" max="15877" width="27.28515625" style="12" hidden="1"/>
    <col min="15878" max="15878" width="10.140625" style="12" hidden="1"/>
    <col min="15879" max="15879" width="18.140625" style="12" hidden="1"/>
    <col min="15880" max="15880" width="21" style="12" hidden="1"/>
    <col min="15881" max="15881" width="23.7109375" style="12" hidden="1"/>
    <col min="15882" max="15882" width="10.7109375" style="12" hidden="1"/>
    <col min="15883" max="15883" width="25.42578125" style="12" hidden="1"/>
    <col min="15884" max="15884" width="12.42578125" style="12" hidden="1"/>
    <col min="15885" max="15885" width="13.42578125" style="12" hidden="1"/>
    <col min="15886" max="15886" width="10.28515625" style="12" hidden="1"/>
    <col min="15887" max="15895" width="15.42578125" style="12" hidden="1"/>
    <col min="15896" max="15896" width="15.85546875" style="12" hidden="1"/>
    <col min="15897" max="15897" width="13.42578125" style="12" hidden="1"/>
    <col min="15898" max="15898" width="12.85546875" style="12" hidden="1"/>
    <col min="15899" max="15899" width="13.42578125" style="12" hidden="1"/>
    <col min="15900" max="15900" width="16" style="12" hidden="1"/>
    <col min="15901" max="15901" width="12.28515625" style="12" hidden="1"/>
    <col min="15902" max="15902" width="17.28515625" style="12" hidden="1"/>
    <col min="15903" max="15903" width="16.28515625" style="12" hidden="1"/>
    <col min="15904" max="15904" width="22.5703125" style="12" hidden="1"/>
    <col min="15905" max="15905" width="21.140625" style="12" hidden="1"/>
    <col min="15906" max="15906" width="23.42578125" style="12" hidden="1"/>
    <col min="15907" max="16128" width="10.85546875" style="12" hidden="1"/>
    <col min="16129" max="16129" width="19.7109375" style="12" hidden="1"/>
    <col min="16130" max="16130" width="19.42578125" style="12" hidden="1"/>
    <col min="16131" max="16131" width="10.42578125" style="12" hidden="1"/>
    <col min="16132" max="16132" width="16.42578125" style="12" hidden="1"/>
    <col min="16133" max="16133" width="27.28515625" style="12" hidden="1"/>
    <col min="16134" max="16134" width="10.140625" style="12" hidden="1"/>
    <col min="16135" max="16135" width="18.140625" style="12" hidden="1"/>
    <col min="16136" max="16136" width="21" style="12" hidden="1"/>
    <col min="16137" max="16137" width="23.7109375" style="12" hidden="1"/>
    <col min="16138" max="16138" width="10.7109375" style="12" hidden="1"/>
    <col min="16139" max="16139" width="25.42578125" style="12" hidden="1"/>
    <col min="16140" max="16140" width="12.42578125" style="12" hidden="1"/>
    <col min="16141" max="16141" width="13.42578125" style="12" hidden="1"/>
    <col min="16142" max="16142" width="10.28515625" style="12" hidden="1"/>
    <col min="16143" max="16151" width="15.42578125" style="12" hidden="1"/>
    <col min="16152" max="16152" width="15.85546875" style="12" hidden="1"/>
    <col min="16153" max="16153" width="13.42578125" style="12" hidden="1"/>
    <col min="16154" max="16154" width="12.85546875" style="12" hidden="1"/>
    <col min="16155" max="16155" width="13.42578125" style="12" hidden="1"/>
    <col min="16156" max="16156" width="16" style="12" hidden="1"/>
    <col min="16157" max="16157" width="12.28515625" style="12" hidden="1"/>
    <col min="16158" max="16158" width="17.28515625" style="12" hidden="1"/>
    <col min="16159" max="16159" width="16.28515625" style="12" hidden="1"/>
    <col min="16160" max="16160" width="22.5703125" style="12" hidden="1"/>
    <col min="16161" max="16161" width="21.140625" style="12" hidden="1"/>
    <col min="16162" max="16162" width="23.42578125" style="12" hidden="1"/>
    <col min="16163" max="16384" width="10.85546875" style="12" hidden="1"/>
  </cols>
  <sheetData>
    <row r="1" spans="1:33" ht="13.5" customHeight="1" x14ac:dyDescent="0.2">
      <c r="A1" s="312"/>
      <c r="B1" s="312"/>
      <c r="C1" s="312"/>
      <c r="D1" s="312"/>
      <c r="E1" s="313" t="s">
        <v>0</v>
      </c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5"/>
    </row>
    <row r="2" spans="1:33" ht="13.5" customHeight="1" x14ac:dyDescent="0.2">
      <c r="A2" s="312"/>
      <c r="B2" s="312"/>
      <c r="C2" s="312"/>
      <c r="D2" s="312"/>
      <c r="E2" s="316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8"/>
    </row>
    <row r="3" spans="1:33" ht="13.5" customHeight="1" x14ac:dyDescent="0.2">
      <c r="A3" s="312"/>
      <c r="B3" s="312"/>
      <c r="C3" s="312"/>
      <c r="D3" s="312"/>
      <c r="E3" s="319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1"/>
    </row>
    <row r="4" spans="1:33" ht="15.75" customHeight="1" x14ac:dyDescent="0.2">
      <c r="A4" s="324" t="s">
        <v>82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</row>
    <row r="5" spans="1:33" ht="15" customHeight="1" x14ac:dyDescent="0.2">
      <c r="A5" s="324" t="s">
        <v>119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 t="e">
        <f>SUM(#REF!)</f>
        <v>#REF!</v>
      </c>
      <c r="AE5" s="324"/>
      <c r="AF5" s="324"/>
      <c r="AG5" s="324"/>
    </row>
    <row r="6" spans="1:33" x14ac:dyDescent="0.2">
      <c r="A6" s="324" t="s">
        <v>440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 t="e">
        <f>SUM(#REF!)</f>
        <v>#REF!</v>
      </c>
      <c r="AE6" s="324"/>
      <c r="AF6" s="324"/>
      <c r="AG6" s="324"/>
    </row>
    <row r="7" spans="1:33" x14ac:dyDescent="0.2">
      <c r="A7" s="309"/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1"/>
    </row>
    <row r="8" spans="1:33" x14ac:dyDescent="0.2">
      <c r="A8" s="322" t="s">
        <v>2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05" t="s">
        <v>3</v>
      </c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120"/>
      <c r="AB8" s="120"/>
      <c r="AC8" s="120"/>
      <c r="AD8" s="308" t="s">
        <v>4</v>
      </c>
      <c r="AE8" s="308"/>
      <c r="AF8" s="308"/>
      <c r="AG8" s="308"/>
    </row>
    <row r="9" spans="1:33" ht="12.75" customHeight="1" x14ac:dyDescent="0.2">
      <c r="A9" s="305" t="s">
        <v>141</v>
      </c>
      <c r="B9" s="305" t="s">
        <v>397</v>
      </c>
      <c r="C9" s="307" t="s">
        <v>6</v>
      </c>
      <c r="D9" s="305" t="s">
        <v>7</v>
      </c>
      <c r="E9" s="305"/>
      <c r="F9" s="307" t="s">
        <v>6</v>
      </c>
      <c r="G9" s="305" t="s">
        <v>8</v>
      </c>
      <c r="H9" s="400" t="s">
        <v>47</v>
      </c>
      <c r="I9" s="400"/>
      <c r="J9" s="400"/>
      <c r="K9" s="400"/>
      <c r="L9" s="400"/>
      <c r="M9" s="400"/>
      <c r="N9" s="307" t="s">
        <v>6</v>
      </c>
      <c r="O9" s="291" t="s">
        <v>407</v>
      </c>
      <c r="P9" s="291" t="s">
        <v>408</v>
      </c>
      <c r="Q9" s="291" t="s">
        <v>409</v>
      </c>
      <c r="R9" s="291" t="s">
        <v>410</v>
      </c>
      <c r="S9" s="291" t="s">
        <v>411</v>
      </c>
      <c r="T9" s="291" t="s">
        <v>412</v>
      </c>
      <c r="U9" s="291" t="s">
        <v>413</v>
      </c>
      <c r="V9" s="291" t="s">
        <v>414</v>
      </c>
      <c r="W9" s="291" t="s">
        <v>415</v>
      </c>
      <c r="X9" s="291" t="s">
        <v>416</v>
      </c>
      <c r="Y9" s="291" t="s">
        <v>417</v>
      </c>
      <c r="Z9" s="291" t="s">
        <v>418</v>
      </c>
      <c r="AA9" s="307" t="s">
        <v>10</v>
      </c>
      <c r="AB9" s="307" t="s">
        <v>11</v>
      </c>
      <c r="AC9" s="307" t="s">
        <v>12</v>
      </c>
      <c r="AD9" s="291" t="s">
        <v>108</v>
      </c>
      <c r="AE9" s="291" t="s">
        <v>109</v>
      </c>
      <c r="AF9" s="291" t="s">
        <v>111</v>
      </c>
      <c r="AG9" s="291" t="s">
        <v>112</v>
      </c>
    </row>
    <row r="10" spans="1:33" ht="51" customHeight="1" x14ac:dyDescent="0.2">
      <c r="A10" s="305"/>
      <c r="B10" s="305"/>
      <c r="C10" s="307"/>
      <c r="D10" s="305"/>
      <c r="E10" s="305"/>
      <c r="F10" s="307"/>
      <c r="G10" s="305"/>
      <c r="H10" s="46" t="s">
        <v>49</v>
      </c>
      <c r="I10" s="126" t="s">
        <v>48</v>
      </c>
      <c r="J10" s="126" t="s">
        <v>53</v>
      </c>
      <c r="K10" s="46" t="s">
        <v>37</v>
      </c>
      <c r="L10" s="126" t="s">
        <v>54</v>
      </c>
      <c r="M10" s="262" t="s">
        <v>84</v>
      </c>
      <c r="N10" s="307"/>
      <c r="O10" s="292"/>
      <c r="P10" s="292"/>
      <c r="Q10" s="292"/>
      <c r="R10" s="292"/>
      <c r="S10" s="292"/>
      <c r="T10" s="291"/>
      <c r="U10" s="291"/>
      <c r="V10" s="291"/>
      <c r="W10" s="292"/>
      <c r="X10" s="292"/>
      <c r="Y10" s="292"/>
      <c r="Z10" s="292"/>
      <c r="AA10" s="307"/>
      <c r="AB10" s="307"/>
      <c r="AC10" s="295"/>
      <c r="AD10" s="292"/>
      <c r="AE10" s="291"/>
      <c r="AF10" s="292"/>
      <c r="AG10" s="292"/>
    </row>
    <row r="11" spans="1:33" s="45" customFormat="1" ht="15" customHeight="1" x14ac:dyDescent="0.2">
      <c r="A11" s="534" t="s">
        <v>157</v>
      </c>
      <c r="B11" s="535"/>
      <c r="C11" s="535"/>
      <c r="D11" s="535"/>
      <c r="E11" s="535"/>
      <c r="F11" s="535"/>
      <c r="G11" s="536"/>
      <c r="H11" s="294" t="s">
        <v>148</v>
      </c>
      <c r="I11" s="294" t="s">
        <v>373</v>
      </c>
      <c r="J11" s="294" t="s">
        <v>38</v>
      </c>
      <c r="K11" s="294" t="s">
        <v>149</v>
      </c>
      <c r="L11" s="294" t="s">
        <v>70</v>
      </c>
      <c r="M11" s="397">
        <v>580000</v>
      </c>
      <c r="N11" s="297">
        <v>7.0000000000000007E-2</v>
      </c>
      <c r="O11" s="528"/>
      <c r="P11" s="529"/>
      <c r="Q11" s="529"/>
      <c r="R11" s="529"/>
      <c r="S11" s="529"/>
      <c r="T11" s="529"/>
      <c r="U11" s="529"/>
      <c r="V11" s="529"/>
      <c r="W11" s="529"/>
      <c r="X11" s="529"/>
      <c r="Y11" s="529"/>
      <c r="Z11" s="530"/>
      <c r="AA11" s="297">
        <f>SUM(O11)/M11</f>
        <v>0</v>
      </c>
      <c r="AB11" s="336">
        <f>IF(AA11&lt;=100%,AA11*N11,N11)</f>
        <v>0</v>
      </c>
      <c r="AC11" s="306">
        <f>((SUM(AB11:AB15))/31.67)*100</f>
        <v>0</v>
      </c>
      <c r="AD11" s="522"/>
      <c r="AE11" s="522"/>
      <c r="AF11" s="522"/>
      <c r="AG11" s="522"/>
    </row>
    <row r="12" spans="1:33" ht="51" customHeight="1" x14ac:dyDescent="0.2">
      <c r="A12" s="294" t="str">
        <f>'Plan de desarrollo'!B4</f>
        <v>DIMENSIÓN 1: Creemos en la cultura ciudadana</v>
      </c>
      <c r="B12" s="294" t="str">
        <f>'Objetivos Estratégicos'!B3</f>
        <v xml:space="preserve">Elevar el nivel de competitividad y posicionamiento del Canal como plataforma de contenidos formativos, Informativos y culturales. </v>
      </c>
      <c r="C12" s="367">
        <f>+SUM(F12:F15)</f>
        <v>0.2</v>
      </c>
      <c r="D12" s="294" t="s">
        <v>147</v>
      </c>
      <c r="E12" s="294"/>
      <c r="F12" s="336">
        <f>+SUM(N11:N15)</f>
        <v>0.2</v>
      </c>
      <c r="G12" s="294" t="s">
        <v>262</v>
      </c>
      <c r="H12" s="294"/>
      <c r="I12" s="294"/>
      <c r="J12" s="294"/>
      <c r="K12" s="294"/>
      <c r="L12" s="294"/>
      <c r="M12" s="397"/>
      <c r="N12" s="297"/>
      <c r="O12" s="531"/>
      <c r="P12" s="532"/>
      <c r="Q12" s="532"/>
      <c r="R12" s="532"/>
      <c r="S12" s="532"/>
      <c r="T12" s="532"/>
      <c r="U12" s="532"/>
      <c r="V12" s="532"/>
      <c r="W12" s="532"/>
      <c r="X12" s="532"/>
      <c r="Y12" s="532"/>
      <c r="Z12" s="533"/>
      <c r="AA12" s="297"/>
      <c r="AB12" s="338"/>
      <c r="AC12" s="306"/>
      <c r="AD12" s="523"/>
      <c r="AE12" s="523"/>
      <c r="AF12" s="523"/>
      <c r="AG12" s="523"/>
    </row>
    <row r="13" spans="1:33" ht="45" customHeight="1" x14ac:dyDescent="0.2">
      <c r="A13" s="294"/>
      <c r="B13" s="294"/>
      <c r="C13" s="524"/>
      <c r="D13" s="294"/>
      <c r="E13" s="294"/>
      <c r="F13" s="337"/>
      <c r="G13" s="294"/>
      <c r="H13" s="116" t="s">
        <v>150</v>
      </c>
      <c r="I13" s="190" t="s">
        <v>374</v>
      </c>
      <c r="J13" s="116" t="s">
        <v>38</v>
      </c>
      <c r="K13" s="116" t="s">
        <v>151</v>
      </c>
      <c r="L13" s="116" t="s">
        <v>70</v>
      </c>
      <c r="M13" s="264">
        <v>115000</v>
      </c>
      <c r="N13" s="118">
        <v>7.0000000000000007E-2</v>
      </c>
      <c r="O13" s="525"/>
      <c r="P13" s="526"/>
      <c r="Q13" s="526"/>
      <c r="R13" s="526"/>
      <c r="S13" s="526"/>
      <c r="T13" s="526"/>
      <c r="U13" s="526"/>
      <c r="V13" s="526"/>
      <c r="W13" s="526"/>
      <c r="X13" s="526"/>
      <c r="Y13" s="526"/>
      <c r="Z13" s="527"/>
      <c r="AA13" s="118">
        <f>+O13/M13</f>
        <v>0</v>
      </c>
      <c r="AB13" s="118">
        <f>IF(AA13&lt;=100%,AA13*N13,N13)</f>
        <v>0</v>
      </c>
      <c r="AC13" s="306"/>
      <c r="AD13" s="178"/>
      <c r="AE13" s="178"/>
      <c r="AF13" s="178"/>
      <c r="AG13" s="178"/>
    </row>
    <row r="14" spans="1:33" ht="53.25" customHeight="1" x14ac:dyDescent="0.2">
      <c r="A14" s="294"/>
      <c r="B14" s="294"/>
      <c r="C14" s="524"/>
      <c r="D14" s="294"/>
      <c r="E14" s="294"/>
      <c r="F14" s="337"/>
      <c r="G14" s="294"/>
      <c r="H14" s="116" t="s">
        <v>152</v>
      </c>
      <c r="I14" s="190" t="s">
        <v>156</v>
      </c>
      <c r="J14" s="116" t="s">
        <v>38</v>
      </c>
      <c r="K14" s="116" t="s">
        <v>153</v>
      </c>
      <c r="L14" s="116" t="s">
        <v>70</v>
      </c>
      <c r="M14" s="227">
        <v>10</v>
      </c>
      <c r="N14" s="118">
        <v>0.03</v>
      </c>
      <c r="O14" s="332"/>
      <c r="P14" s="498"/>
      <c r="Q14" s="498"/>
      <c r="R14" s="498"/>
      <c r="S14" s="498"/>
      <c r="T14" s="498"/>
      <c r="U14" s="498"/>
      <c r="V14" s="498"/>
      <c r="W14" s="498"/>
      <c r="X14" s="498"/>
      <c r="Y14" s="498"/>
      <c r="Z14" s="333"/>
      <c r="AA14" s="118">
        <f>IF(O14&lt;&gt;"",IF(O14&lt;=10,100%,0%),0%)</f>
        <v>0</v>
      </c>
      <c r="AB14" s="211">
        <f t="shared" ref="AB14" si="0">IF(AA14&lt;=100%,AA14*N14,N14)</f>
        <v>0</v>
      </c>
      <c r="AC14" s="306"/>
      <c r="AD14" s="178"/>
      <c r="AE14" s="178"/>
      <c r="AF14" s="178"/>
      <c r="AG14" s="178"/>
    </row>
    <row r="15" spans="1:33" ht="57.75" customHeight="1" x14ac:dyDescent="0.2">
      <c r="A15" s="294"/>
      <c r="B15" s="294"/>
      <c r="C15" s="524"/>
      <c r="D15" s="294"/>
      <c r="E15" s="294"/>
      <c r="F15" s="338"/>
      <c r="G15" s="294"/>
      <c r="H15" s="116" t="s">
        <v>154</v>
      </c>
      <c r="I15" s="190" t="s">
        <v>375</v>
      </c>
      <c r="J15" s="116" t="s">
        <v>38</v>
      </c>
      <c r="K15" s="116" t="s">
        <v>155</v>
      </c>
      <c r="L15" s="116" t="s">
        <v>70</v>
      </c>
      <c r="M15" s="227">
        <v>10</v>
      </c>
      <c r="N15" s="118">
        <v>0.03</v>
      </c>
      <c r="O15" s="332"/>
      <c r="P15" s="498"/>
      <c r="Q15" s="498"/>
      <c r="R15" s="498"/>
      <c r="S15" s="498"/>
      <c r="T15" s="498"/>
      <c r="U15" s="498"/>
      <c r="V15" s="498"/>
      <c r="W15" s="498"/>
      <c r="X15" s="498"/>
      <c r="Y15" s="498"/>
      <c r="Z15" s="333"/>
      <c r="AA15" s="173">
        <f>IF(O15&lt;&gt;"",IF(O15&lt;=15,100%,0%),0%)</f>
        <v>0</v>
      </c>
      <c r="AB15" s="211">
        <f>IF(AA15&lt;=100%,AA15*N15,N15)</f>
        <v>0</v>
      </c>
      <c r="AC15" s="306"/>
      <c r="AD15" s="178"/>
      <c r="AE15" s="178"/>
      <c r="AF15" s="178"/>
      <c r="AG15" s="178"/>
    </row>
    <row r="16" spans="1:33" ht="15" customHeight="1" x14ac:dyDescent="0.2">
      <c r="A16" s="542" t="s">
        <v>398</v>
      </c>
      <c r="B16" s="542"/>
      <c r="C16" s="542"/>
      <c r="D16" s="542"/>
      <c r="E16" s="542"/>
      <c r="F16" s="542"/>
      <c r="G16" s="542"/>
      <c r="H16" s="294" t="s">
        <v>212</v>
      </c>
      <c r="I16" s="294" t="s">
        <v>213</v>
      </c>
      <c r="J16" s="294" t="s">
        <v>38</v>
      </c>
      <c r="K16" s="294" t="s">
        <v>215</v>
      </c>
      <c r="L16" s="294" t="s">
        <v>36</v>
      </c>
      <c r="M16" s="334">
        <v>25</v>
      </c>
      <c r="N16" s="306">
        <v>0.02</v>
      </c>
      <c r="O16" s="342"/>
      <c r="P16" s="520"/>
      <c r="Q16" s="343"/>
      <c r="R16" s="342"/>
      <c r="S16" s="520"/>
      <c r="T16" s="343"/>
      <c r="U16" s="342"/>
      <c r="V16" s="520"/>
      <c r="W16" s="343"/>
      <c r="X16" s="342"/>
      <c r="Y16" s="520"/>
      <c r="Z16" s="343"/>
      <c r="AA16" s="297">
        <f>IF(SUM(O16:Z17)=0,0,IF((MIN(O16:Z17)&lt;=M16),100%,M16/((MIN(O16:Z17)))))</f>
        <v>0</v>
      </c>
      <c r="AB16" s="336">
        <f>IF(AA16&lt;=100%,AA16*N16,N16)</f>
        <v>0</v>
      </c>
      <c r="AC16" s="326">
        <f>((SUM(AB16:AB20))/31.67)*100</f>
        <v>0</v>
      </c>
      <c r="AD16" s="301"/>
      <c r="AE16" s="301"/>
      <c r="AF16" s="301"/>
      <c r="AG16" s="301"/>
    </row>
    <row r="17" spans="1:33" ht="93.75" customHeight="1" x14ac:dyDescent="0.2">
      <c r="A17" s="339" t="str">
        <f>'Plan de desarrollo'!B4</f>
        <v>DIMENSIÓN 1: Creemos en la cultura ciudadana</v>
      </c>
      <c r="B17" s="340" t="str">
        <f>+'Objetivos Estratégicos'!B3</f>
        <v xml:space="preserve">Elevar el nivel de competitividad y posicionamiento del Canal como plataforma de contenidos formativos, Informativos y culturales. </v>
      </c>
      <c r="C17" s="297">
        <f>+F17</f>
        <v>7.0000000000000007E-2</v>
      </c>
      <c r="D17" s="294" t="s">
        <v>210</v>
      </c>
      <c r="E17" s="294"/>
      <c r="F17" s="297">
        <f>+SUM(N16:N20)</f>
        <v>7.0000000000000007E-2</v>
      </c>
      <c r="G17" s="294" t="s">
        <v>262</v>
      </c>
      <c r="H17" s="295"/>
      <c r="I17" s="295"/>
      <c r="J17" s="295"/>
      <c r="K17" s="295"/>
      <c r="L17" s="295"/>
      <c r="M17" s="537"/>
      <c r="N17" s="538"/>
      <c r="O17" s="513"/>
      <c r="P17" s="521"/>
      <c r="Q17" s="514"/>
      <c r="R17" s="513"/>
      <c r="S17" s="521"/>
      <c r="T17" s="514"/>
      <c r="U17" s="513"/>
      <c r="V17" s="521"/>
      <c r="W17" s="514"/>
      <c r="X17" s="513"/>
      <c r="Y17" s="521"/>
      <c r="Z17" s="514"/>
      <c r="AA17" s="297"/>
      <c r="AB17" s="338"/>
      <c r="AC17" s="476"/>
      <c r="AD17" s="328"/>
      <c r="AE17" s="328"/>
      <c r="AF17" s="328"/>
      <c r="AG17" s="328"/>
    </row>
    <row r="18" spans="1:33" ht="55.5" customHeight="1" x14ac:dyDescent="0.2">
      <c r="A18" s="339"/>
      <c r="B18" s="340"/>
      <c r="C18" s="297"/>
      <c r="D18" s="294"/>
      <c r="E18" s="294"/>
      <c r="F18" s="297"/>
      <c r="G18" s="294"/>
      <c r="H18" s="224" t="s">
        <v>211</v>
      </c>
      <c r="I18" s="224" t="s">
        <v>214</v>
      </c>
      <c r="J18" s="227" t="s">
        <v>38</v>
      </c>
      <c r="K18" s="224" t="s">
        <v>216</v>
      </c>
      <c r="L18" s="227" t="s">
        <v>36</v>
      </c>
      <c r="M18" s="269">
        <v>85</v>
      </c>
      <c r="N18" s="268">
        <v>0.02</v>
      </c>
      <c r="O18" s="332"/>
      <c r="P18" s="498"/>
      <c r="Q18" s="333"/>
      <c r="R18" s="332"/>
      <c r="S18" s="498"/>
      <c r="T18" s="333"/>
      <c r="U18" s="332"/>
      <c r="V18" s="498"/>
      <c r="W18" s="333"/>
      <c r="X18" s="332"/>
      <c r="Y18" s="498"/>
      <c r="Z18" s="333"/>
      <c r="AA18" s="118">
        <f>SUM(O18:Z18)/M18</f>
        <v>0</v>
      </c>
      <c r="AB18" s="118">
        <f>IF(AA18&lt;=100%,AA18*N18,N18)</f>
        <v>0</v>
      </c>
      <c r="AC18" s="476"/>
      <c r="AD18" s="242"/>
      <c r="AE18" s="242"/>
      <c r="AF18" s="242"/>
      <c r="AG18" s="242"/>
    </row>
    <row r="19" spans="1:33" ht="70.5" customHeight="1" x14ac:dyDescent="0.2">
      <c r="A19" s="339"/>
      <c r="B19" s="340"/>
      <c r="C19" s="297"/>
      <c r="D19" s="294"/>
      <c r="E19" s="294"/>
      <c r="F19" s="297"/>
      <c r="G19" s="294"/>
      <c r="H19" s="224" t="s">
        <v>217</v>
      </c>
      <c r="I19" s="224" t="s">
        <v>218</v>
      </c>
      <c r="J19" s="227" t="s">
        <v>38</v>
      </c>
      <c r="K19" s="224" t="s">
        <v>219</v>
      </c>
      <c r="L19" s="227" t="s">
        <v>36</v>
      </c>
      <c r="M19" s="274">
        <v>21600</v>
      </c>
      <c r="N19" s="268">
        <v>1.4999999999999999E-2</v>
      </c>
      <c r="O19" s="332"/>
      <c r="P19" s="498"/>
      <c r="Q19" s="333"/>
      <c r="R19" s="332"/>
      <c r="S19" s="498"/>
      <c r="T19" s="333"/>
      <c r="U19" s="332"/>
      <c r="V19" s="498"/>
      <c r="W19" s="333"/>
      <c r="X19" s="332"/>
      <c r="Y19" s="498"/>
      <c r="Z19" s="333"/>
      <c r="AA19" s="118">
        <f>SUM(O19:Z19)/M19</f>
        <v>0</v>
      </c>
      <c r="AB19" s="118">
        <f>IF(AA19&lt;=100%,AA19*N19,N19)</f>
        <v>0</v>
      </c>
      <c r="AC19" s="476"/>
      <c r="AD19" s="242"/>
      <c r="AE19" s="242"/>
      <c r="AF19" s="242"/>
      <c r="AG19" s="242"/>
    </row>
    <row r="20" spans="1:33" ht="61.5" customHeight="1" x14ac:dyDescent="0.2">
      <c r="A20" s="339"/>
      <c r="B20" s="340"/>
      <c r="C20" s="297"/>
      <c r="D20" s="294"/>
      <c r="E20" s="294"/>
      <c r="F20" s="297"/>
      <c r="G20" s="294"/>
      <c r="H20" s="272" t="s">
        <v>442</v>
      </c>
      <c r="I20" s="271" t="s">
        <v>223</v>
      </c>
      <c r="J20" s="227" t="s">
        <v>38</v>
      </c>
      <c r="K20" s="271" t="s">
        <v>443</v>
      </c>
      <c r="L20" s="227" t="s">
        <v>36</v>
      </c>
      <c r="M20" s="274">
        <v>91000000</v>
      </c>
      <c r="N20" s="268">
        <v>1.4999999999999999E-2</v>
      </c>
      <c r="O20" s="539"/>
      <c r="P20" s="540"/>
      <c r="Q20" s="541"/>
      <c r="R20" s="332"/>
      <c r="S20" s="498"/>
      <c r="T20" s="333"/>
      <c r="U20" s="332"/>
      <c r="V20" s="498"/>
      <c r="W20" s="333"/>
      <c r="X20" s="332"/>
      <c r="Y20" s="498"/>
      <c r="Z20" s="333"/>
      <c r="AA20" s="277">
        <f>SUM(O20:Z20)/M20</f>
        <v>0</v>
      </c>
      <c r="AB20" s="277">
        <f>IF(AA20&lt;=100%,AA20*N20,N20)</f>
        <v>0</v>
      </c>
      <c r="AC20" s="273"/>
      <c r="AD20" s="270"/>
      <c r="AE20" s="270"/>
      <c r="AF20" s="270"/>
      <c r="AG20" s="270"/>
    </row>
    <row r="21" spans="1:33" ht="15" customHeight="1" x14ac:dyDescent="0.2">
      <c r="A21" s="508" t="s">
        <v>227</v>
      </c>
      <c r="B21" s="509"/>
      <c r="C21" s="509"/>
      <c r="D21" s="509"/>
      <c r="E21" s="509"/>
      <c r="F21" s="509"/>
      <c r="G21" s="510"/>
      <c r="H21" s="294" t="s">
        <v>232</v>
      </c>
      <c r="I21" s="303" t="s">
        <v>233</v>
      </c>
      <c r="J21" s="430" t="s">
        <v>38</v>
      </c>
      <c r="K21" s="303" t="s">
        <v>234</v>
      </c>
      <c r="L21" s="430" t="s">
        <v>36</v>
      </c>
      <c r="M21" s="517">
        <v>611227</v>
      </c>
      <c r="N21" s="306">
        <v>0.01</v>
      </c>
      <c r="O21" s="502"/>
      <c r="P21" s="503"/>
      <c r="Q21" s="504"/>
      <c r="R21" s="502"/>
      <c r="S21" s="503"/>
      <c r="T21" s="504"/>
      <c r="U21" s="502"/>
      <c r="V21" s="503"/>
      <c r="W21" s="504"/>
      <c r="X21" s="502"/>
      <c r="Y21" s="503"/>
      <c r="Z21" s="504"/>
      <c r="AA21" s="336">
        <f>+MAX(O21:Z22)/M21</f>
        <v>0</v>
      </c>
      <c r="AB21" s="336">
        <f>IF(AA21&lt;=100%,AA21*N21,N21)</f>
        <v>0</v>
      </c>
      <c r="AC21" s="326">
        <f>((SUM(AB21:AB26))/31.67)*100</f>
        <v>0</v>
      </c>
      <c r="AD21" s="301"/>
      <c r="AE21" s="301"/>
      <c r="AF21" s="301"/>
      <c r="AG21" s="301"/>
    </row>
    <row r="22" spans="1:33" ht="43.5" customHeight="1" x14ac:dyDescent="0.2">
      <c r="A22" s="303" t="str">
        <f>'Plan de desarrollo'!B4</f>
        <v>DIMENSIÓN 1: Creemos en la cultura ciudadana</v>
      </c>
      <c r="B22" s="351" t="str">
        <f>+'Objetivos Estratégicos'!B4</f>
        <v xml:space="preserve">Elevar la capacidad de innovación, calidad técnica y audiovisual en la producción, programación y distribución de los contenidos a través de las distintas plataformas. </v>
      </c>
      <c r="C22" s="336">
        <f>+F22</f>
        <v>0.02</v>
      </c>
      <c r="D22" s="342" t="s">
        <v>231</v>
      </c>
      <c r="E22" s="343"/>
      <c r="F22" s="336">
        <f>+SUM(N21:N26)</f>
        <v>0.02</v>
      </c>
      <c r="G22" s="375" t="s">
        <v>83</v>
      </c>
      <c r="H22" s="493"/>
      <c r="I22" s="304"/>
      <c r="J22" s="431"/>
      <c r="K22" s="304"/>
      <c r="L22" s="431"/>
      <c r="M22" s="518"/>
      <c r="N22" s="519"/>
      <c r="O22" s="505"/>
      <c r="P22" s="506"/>
      <c r="Q22" s="507"/>
      <c r="R22" s="505"/>
      <c r="S22" s="506"/>
      <c r="T22" s="507"/>
      <c r="U22" s="505"/>
      <c r="V22" s="506"/>
      <c r="W22" s="507"/>
      <c r="X22" s="505"/>
      <c r="Y22" s="506"/>
      <c r="Z22" s="507"/>
      <c r="AA22" s="338"/>
      <c r="AB22" s="338"/>
      <c r="AC22" s="476"/>
      <c r="AD22" s="328"/>
      <c r="AE22" s="328"/>
      <c r="AF22" s="328"/>
      <c r="AG22" s="328"/>
    </row>
    <row r="23" spans="1:33" ht="60" customHeight="1" x14ac:dyDescent="0.2">
      <c r="A23" s="350"/>
      <c r="B23" s="352"/>
      <c r="C23" s="337"/>
      <c r="D23" s="511"/>
      <c r="E23" s="512"/>
      <c r="F23" s="337"/>
      <c r="G23" s="401"/>
      <c r="H23" s="224" t="s">
        <v>235</v>
      </c>
      <c r="I23" s="224" t="s">
        <v>236</v>
      </c>
      <c r="J23" s="227" t="s">
        <v>38</v>
      </c>
      <c r="K23" s="224" t="s">
        <v>237</v>
      </c>
      <c r="L23" s="227" t="s">
        <v>36</v>
      </c>
      <c r="M23" s="228">
        <v>7000000</v>
      </c>
      <c r="N23" s="260">
        <v>2.5000000000000001E-3</v>
      </c>
      <c r="O23" s="497"/>
      <c r="P23" s="515"/>
      <c r="Q23" s="516"/>
      <c r="R23" s="497"/>
      <c r="S23" s="498"/>
      <c r="T23" s="333"/>
      <c r="U23" s="497"/>
      <c r="V23" s="498"/>
      <c r="W23" s="333"/>
      <c r="X23" s="497"/>
      <c r="Y23" s="498"/>
      <c r="Z23" s="333"/>
      <c r="AA23" s="121">
        <f>SUM(O23:Z23)/M23</f>
        <v>0</v>
      </c>
      <c r="AB23" s="118">
        <f>IF(AA23&lt;=100%,AA23*N23,N23)</f>
        <v>0</v>
      </c>
      <c r="AC23" s="476"/>
      <c r="AD23" s="242"/>
      <c r="AE23" s="242"/>
      <c r="AF23" s="242"/>
      <c r="AG23" s="242"/>
    </row>
    <row r="24" spans="1:33" ht="57.75" customHeight="1" x14ac:dyDescent="0.2">
      <c r="A24" s="350"/>
      <c r="B24" s="352"/>
      <c r="C24" s="337"/>
      <c r="D24" s="511"/>
      <c r="E24" s="512"/>
      <c r="F24" s="337"/>
      <c r="G24" s="401"/>
      <c r="H24" s="224" t="s">
        <v>238</v>
      </c>
      <c r="I24" s="224" t="s">
        <v>239</v>
      </c>
      <c r="J24" s="227" t="s">
        <v>38</v>
      </c>
      <c r="K24" s="224" t="s">
        <v>240</v>
      </c>
      <c r="L24" s="227" t="s">
        <v>36</v>
      </c>
      <c r="M24" s="228">
        <v>596000</v>
      </c>
      <c r="N24" s="260">
        <v>2.5000000000000001E-3</v>
      </c>
      <c r="O24" s="497"/>
      <c r="P24" s="498"/>
      <c r="Q24" s="333"/>
      <c r="R24" s="497"/>
      <c r="S24" s="498"/>
      <c r="T24" s="333"/>
      <c r="U24" s="497"/>
      <c r="V24" s="498"/>
      <c r="W24" s="333"/>
      <c r="X24" s="497"/>
      <c r="Y24" s="498"/>
      <c r="Z24" s="333"/>
      <c r="AA24" s="121">
        <f>SUM(O24:Z24)/M24</f>
        <v>0</v>
      </c>
      <c r="AB24" s="118">
        <f>IF(AA24&lt;=100%,AA24*N24,N24)</f>
        <v>0</v>
      </c>
      <c r="AC24" s="476"/>
      <c r="AD24" s="242"/>
      <c r="AE24" s="242"/>
      <c r="AF24" s="242"/>
      <c r="AG24" s="253"/>
    </row>
    <row r="25" spans="1:33" ht="63" customHeight="1" x14ac:dyDescent="0.2">
      <c r="A25" s="350"/>
      <c r="B25" s="352"/>
      <c r="C25" s="337"/>
      <c r="D25" s="511"/>
      <c r="E25" s="512"/>
      <c r="F25" s="337"/>
      <c r="G25" s="401"/>
      <c r="H25" s="224" t="s">
        <v>241</v>
      </c>
      <c r="I25" s="224" t="s">
        <v>242</v>
      </c>
      <c r="J25" s="227" t="s">
        <v>38</v>
      </c>
      <c r="K25" s="224" t="s">
        <v>243</v>
      </c>
      <c r="L25" s="227" t="s">
        <v>36</v>
      </c>
      <c r="M25" s="228">
        <v>345000</v>
      </c>
      <c r="N25" s="260">
        <v>2.5000000000000001E-3</v>
      </c>
      <c r="O25" s="494"/>
      <c r="P25" s="495"/>
      <c r="Q25" s="496"/>
      <c r="R25" s="497"/>
      <c r="S25" s="498"/>
      <c r="T25" s="333"/>
      <c r="U25" s="497"/>
      <c r="V25" s="498"/>
      <c r="W25" s="333"/>
      <c r="X25" s="497"/>
      <c r="Y25" s="498"/>
      <c r="Z25" s="333"/>
      <c r="AA25" s="121">
        <f>SUM(O25:Z25)/M25</f>
        <v>0</v>
      </c>
      <c r="AB25" s="118">
        <f>IF(AA25&lt;=100%,AA25*N25,N25)</f>
        <v>0</v>
      </c>
      <c r="AC25" s="476"/>
      <c r="AD25" s="242"/>
      <c r="AE25" s="242"/>
      <c r="AF25" s="242"/>
      <c r="AG25" s="242"/>
    </row>
    <row r="26" spans="1:33" ht="64.5" customHeight="1" x14ac:dyDescent="0.2">
      <c r="A26" s="304"/>
      <c r="B26" s="353"/>
      <c r="C26" s="338"/>
      <c r="D26" s="513"/>
      <c r="E26" s="514"/>
      <c r="F26" s="338"/>
      <c r="G26" s="376"/>
      <c r="H26" s="224" t="s">
        <v>244</v>
      </c>
      <c r="I26" s="224" t="s">
        <v>245</v>
      </c>
      <c r="J26" s="227" t="s">
        <v>38</v>
      </c>
      <c r="K26" s="224" t="s">
        <v>246</v>
      </c>
      <c r="L26" s="227" t="s">
        <v>36</v>
      </c>
      <c r="M26" s="228">
        <v>48000</v>
      </c>
      <c r="N26" s="260">
        <v>2.5000000000000001E-3</v>
      </c>
      <c r="O26" s="494"/>
      <c r="P26" s="495"/>
      <c r="Q26" s="496"/>
      <c r="R26" s="494"/>
      <c r="S26" s="495"/>
      <c r="T26" s="496"/>
      <c r="U26" s="497"/>
      <c r="V26" s="498"/>
      <c r="W26" s="333"/>
      <c r="X26" s="497"/>
      <c r="Y26" s="498"/>
      <c r="Z26" s="333"/>
      <c r="AA26" s="121">
        <f>SUM(O26:Z26)/M26</f>
        <v>0</v>
      </c>
      <c r="AB26" s="118">
        <f>IF(AA26&lt;=100%,AA26*N26,N26)</f>
        <v>0</v>
      </c>
      <c r="AC26" s="327"/>
      <c r="AD26" s="242"/>
      <c r="AE26" s="242"/>
      <c r="AF26" s="242"/>
      <c r="AG26" s="253"/>
    </row>
    <row r="27" spans="1:33" s="1" customFormat="1" ht="14.25" customHeight="1" x14ac:dyDescent="0.2">
      <c r="A27" s="293" t="s">
        <v>253</v>
      </c>
      <c r="B27" s="293"/>
      <c r="C27" s="293"/>
      <c r="D27" s="293"/>
      <c r="E27" s="293"/>
      <c r="F27" s="293"/>
      <c r="G27" s="293"/>
      <c r="H27" s="294" t="s">
        <v>255</v>
      </c>
      <c r="I27" s="294" t="s">
        <v>263</v>
      </c>
      <c r="J27" s="294" t="s">
        <v>55</v>
      </c>
      <c r="K27" s="294" t="s">
        <v>255</v>
      </c>
      <c r="L27" s="294" t="s">
        <v>36</v>
      </c>
      <c r="M27" s="416">
        <v>110000000</v>
      </c>
      <c r="N27" s="297">
        <v>5.0000000000000001E-3</v>
      </c>
      <c r="O27" s="490"/>
      <c r="P27" s="491"/>
      <c r="Q27" s="492"/>
      <c r="R27" s="490"/>
      <c r="S27" s="491"/>
      <c r="T27" s="492"/>
      <c r="U27" s="490"/>
      <c r="V27" s="491"/>
      <c r="W27" s="492"/>
      <c r="X27" s="490"/>
      <c r="Y27" s="491"/>
      <c r="Z27" s="492"/>
      <c r="AA27" s="336">
        <f>SUM(O27:Z28)/M27</f>
        <v>0</v>
      </c>
      <c r="AB27" s="419">
        <f>IF(AA27&lt;=100%,AA27*N27,N27)</f>
        <v>0</v>
      </c>
      <c r="AC27" s="326">
        <f>((SUM(AB27:AB32))/31.67)*100</f>
        <v>0</v>
      </c>
      <c r="AD27" s="485"/>
      <c r="AE27" s="485"/>
      <c r="AF27" s="485"/>
      <c r="AG27" s="485"/>
    </row>
    <row r="28" spans="1:33" s="1" customFormat="1" ht="66.75" customHeight="1" x14ac:dyDescent="0.2">
      <c r="A28" s="413" t="str">
        <f>'Plan de desarrollo'!B4</f>
        <v>DIMENSIÓN 1: Creemos en la cultura ciudadana</v>
      </c>
      <c r="B28" s="351" t="str">
        <f>'Objetivos Estratégicos'!B5</f>
        <v xml:space="preserve">Realizar alianzas estratégicas con la Alcaldía y sus entes descentralizados para temas de comunicación a través de la Agencia y Central de Medios de Telemedellín. </v>
      </c>
      <c r="C28" s="336">
        <f>+F28</f>
        <v>1.66E-2</v>
      </c>
      <c r="D28" s="294" t="s">
        <v>260</v>
      </c>
      <c r="E28" s="294"/>
      <c r="F28" s="336">
        <f>+SUM(N27:N32)</f>
        <v>1.66E-2</v>
      </c>
      <c r="G28" s="116" t="s">
        <v>262</v>
      </c>
      <c r="H28" s="493"/>
      <c r="I28" s="493"/>
      <c r="J28" s="493"/>
      <c r="K28" s="493"/>
      <c r="L28" s="493"/>
      <c r="M28" s="417"/>
      <c r="N28" s="493"/>
      <c r="O28" s="499"/>
      <c r="P28" s="500"/>
      <c r="Q28" s="501"/>
      <c r="R28" s="499"/>
      <c r="S28" s="500"/>
      <c r="T28" s="501"/>
      <c r="U28" s="499"/>
      <c r="V28" s="500"/>
      <c r="W28" s="501"/>
      <c r="X28" s="499"/>
      <c r="Y28" s="500"/>
      <c r="Z28" s="501"/>
      <c r="AA28" s="338"/>
      <c r="AB28" s="420"/>
      <c r="AC28" s="476"/>
      <c r="AD28" s="486"/>
      <c r="AE28" s="486"/>
      <c r="AF28" s="486"/>
      <c r="AG28" s="486"/>
    </row>
    <row r="29" spans="1:33" s="1" customFormat="1" ht="73.5" customHeight="1" x14ac:dyDescent="0.2">
      <c r="A29" s="414"/>
      <c r="B29" s="352"/>
      <c r="C29" s="337"/>
      <c r="D29" s="342" t="s">
        <v>261</v>
      </c>
      <c r="E29" s="343"/>
      <c r="F29" s="337"/>
      <c r="G29" s="125" t="s">
        <v>262</v>
      </c>
      <c r="H29" s="226" t="s">
        <v>258</v>
      </c>
      <c r="I29" s="226" t="s">
        <v>264</v>
      </c>
      <c r="J29" s="226" t="s">
        <v>55</v>
      </c>
      <c r="K29" s="226" t="s">
        <v>258</v>
      </c>
      <c r="L29" s="226" t="s">
        <v>36</v>
      </c>
      <c r="M29" s="90">
        <v>140000000</v>
      </c>
      <c r="N29" s="261">
        <v>5.0000000000000001E-3</v>
      </c>
      <c r="O29" s="487"/>
      <c r="P29" s="488"/>
      <c r="Q29" s="489"/>
      <c r="R29" s="487"/>
      <c r="S29" s="488"/>
      <c r="T29" s="489"/>
      <c r="U29" s="490"/>
      <c r="V29" s="491"/>
      <c r="W29" s="492"/>
      <c r="X29" s="487"/>
      <c r="Y29" s="488"/>
      <c r="Z29" s="489"/>
      <c r="AA29" s="121">
        <f>SUM(O29:Z29)/M29</f>
        <v>0</v>
      </c>
      <c r="AB29" s="121">
        <f t="shared" ref="AB29:AB32" si="1">IF(AA29&lt;=100%,AA29*N29,N29)</f>
        <v>0</v>
      </c>
      <c r="AC29" s="476"/>
      <c r="AD29" s="243"/>
      <c r="AE29" s="243"/>
      <c r="AF29" s="243"/>
      <c r="AG29" s="243"/>
    </row>
    <row r="30" spans="1:33" ht="112.5" customHeight="1" x14ac:dyDescent="0.2">
      <c r="A30" s="414"/>
      <c r="B30" s="352"/>
      <c r="C30" s="337"/>
      <c r="D30" s="332" t="s">
        <v>268</v>
      </c>
      <c r="E30" s="333"/>
      <c r="F30" s="337"/>
      <c r="G30" s="125" t="s">
        <v>262</v>
      </c>
      <c r="H30" s="226" t="s">
        <v>274</v>
      </c>
      <c r="I30" s="226" t="s">
        <v>365</v>
      </c>
      <c r="J30" s="226" t="s">
        <v>41</v>
      </c>
      <c r="K30" s="226" t="s">
        <v>338</v>
      </c>
      <c r="L30" s="226" t="s">
        <v>70</v>
      </c>
      <c r="M30" s="266">
        <v>0.8</v>
      </c>
      <c r="N30" s="267">
        <v>2.2000000000000001E-3</v>
      </c>
      <c r="O30" s="344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6"/>
      <c r="AA30" s="118">
        <f>IFERROR(AVERAGE(O30:Z30)/M30,0)</f>
        <v>0</v>
      </c>
      <c r="AB30" s="121">
        <f t="shared" si="1"/>
        <v>0</v>
      </c>
      <c r="AC30" s="476"/>
      <c r="AD30" s="241"/>
      <c r="AE30" s="241"/>
      <c r="AF30" s="241"/>
      <c r="AG30" s="241"/>
    </row>
    <row r="31" spans="1:33" ht="104.25" customHeight="1" x14ac:dyDescent="0.2">
      <c r="A31" s="414"/>
      <c r="B31" s="352"/>
      <c r="C31" s="337"/>
      <c r="D31" s="342" t="s">
        <v>269</v>
      </c>
      <c r="E31" s="343"/>
      <c r="F31" s="337"/>
      <c r="G31" s="125" t="s">
        <v>262</v>
      </c>
      <c r="H31" s="226" t="s">
        <v>275</v>
      </c>
      <c r="I31" s="226" t="s">
        <v>366</v>
      </c>
      <c r="J31" s="226" t="s">
        <v>41</v>
      </c>
      <c r="K31" s="226" t="s">
        <v>340</v>
      </c>
      <c r="L31" s="226" t="s">
        <v>70</v>
      </c>
      <c r="M31" s="266">
        <v>0.8</v>
      </c>
      <c r="N31" s="267">
        <v>2.2000000000000001E-3</v>
      </c>
      <c r="O31" s="344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6"/>
      <c r="AA31" s="186">
        <f>IFERROR(AVERAGE(O31:Z31)/M31,0)</f>
        <v>0</v>
      </c>
      <c r="AB31" s="121">
        <f t="shared" si="1"/>
        <v>0</v>
      </c>
      <c r="AC31" s="476"/>
      <c r="AD31" s="241"/>
      <c r="AE31" s="241"/>
      <c r="AF31" s="241"/>
      <c r="AG31" s="241"/>
    </row>
    <row r="32" spans="1:33" ht="111.75" customHeight="1" x14ac:dyDescent="0.2">
      <c r="A32" s="415"/>
      <c r="B32" s="353"/>
      <c r="C32" s="338"/>
      <c r="D32" s="342" t="s">
        <v>280</v>
      </c>
      <c r="E32" s="343"/>
      <c r="F32" s="338"/>
      <c r="G32" s="125" t="s">
        <v>262</v>
      </c>
      <c r="H32" s="226" t="s">
        <v>281</v>
      </c>
      <c r="I32" s="226" t="s">
        <v>367</v>
      </c>
      <c r="J32" s="226" t="s">
        <v>41</v>
      </c>
      <c r="K32" s="226" t="s">
        <v>339</v>
      </c>
      <c r="L32" s="226" t="s">
        <v>70</v>
      </c>
      <c r="M32" s="266">
        <v>0.8</v>
      </c>
      <c r="N32" s="267">
        <v>2.2000000000000001E-3</v>
      </c>
      <c r="O32" s="344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6"/>
      <c r="AA32" s="186">
        <f>IFERROR(AVERAGE(O32:Z32)/M32,0)</f>
        <v>0</v>
      </c>
      <c r="AB32" s="121">
        <f t="shared" si="1"/>
        <v>0</v>
      </c>
      <c r="AC32" s="327"/>
      <c r="AD32" s="241"/>
      <c r="AE32" s="241"/>
      <c r="AF32" s="241"/>
      <c r="AG32" s="241"/>
    </row>
    <row r="33" spans="1:33" s="1" customFormat="1" ht="12.75" customHeight="1" x14ac:dyDescent="0.2">
      <c r="A33" s="293" t="s">
        <v>282</v>
      </c>
      <c r="B33" s="293"/>
      <c r="C33" s="293"/>
      <c r="D33" s="293"/>
      <c r="E33" s="293"/>
      <c r="F33" s="293"/>
      <c r="G33" s="293"/>
      <c r="H33" s="375" t="s">
        <v>327</v>
      </c>
      <c r="I33" s="375" t="s">
        <v>332</v>
      </c>
      <c r="J33" s="375" t="s">
        <v>41</v>
      </c>
      <c r="K33" s="375" t="s">
        <v>335</v>
      </c>
      <c r="L33" s="375" t="s">
        <v>36</v>
      </c>
      <c r="M33" s="477">
        <v>1</v>
      </c>
      <c r="N33" s="336">
        <v>4.0000000000000001E-3</v>
      </c>
      <c r="O33" s="479"/>
      <c r="P33" s="480"/>
      <c r="Q33" s="481"/>
      <c r="R33" s="479"/>
      <c r="S33" s="480"/>
      <c r="T33" s="481"/>
      <c r="U33" s="479"/>
      <c r="V33" s="480"/>
      <c r="W33" s="481"/>
      <c r="X33" s="479"/>
      <c r="Y33" s="480"/>
      <c r="Z33" s="481"/>
      <c r="AA33" s="336">
        <f>IFERROR(AVERAGE(O33:Z34)/M33,0)</f>
        <v>0</v>
      </c>
      <c r="AB33" s="336">
        <f>IF(AA33&lt;=100%,AA33*N33,N33)</f>
        <v>0</v>
      </c>
      <c r="AC33" s="326">
        <f>((SUM(AB33:AB36))/31.67)*100</f>
        <v>0</v>
      </c>
      <c r="AD33" s="329"/>
      <c r="AE33" s="470"/>
      <c r="AF33" s="470"/>
      <c r="AG33" s="470"/>
    </row>
    <row r="34" spans="1:33" s="1" customFormat="1" ht="73.5" customHeight="1" x14ac:dyDescent="0.2">
      <c r="A34" s="413" t="str">
        <f>+A28</f>
        <v>DIMENSIÓN 1: Creemos en la cultura ciudadana</v>
      </c>
      <c r="B34" s="351" t="str">
        <f>+'Objetivos Estratégicos'!B7</f>
        <v xml:space="preserve">Incrementar el nivel de eficiencia y eficacia operativa y administrativa en la gestión y ejecución de los procesos. </v>
      </c>
      <c r="C34" s="336">
        <f>F34</f>
        <v>0.01</v>
      </c>
      <c r="D34" s="332" t="s">
        <v>330</v>
      </c>
      <c r="E34" s="333"/>
      <c r="F34" s="337">
        <f>SUM(N33:N36)</f>
        <v>0.01</v>
      </c>
      <c r="G34" s="125" t="s">
        <v>262</v>
      </c>
      <c r="H34" s="376"/>
      <c r="I34" s="376"/>
      <c r="J34" s="376"/>
      <c r="K34" s="376"/>
      <c r="L34" s="376"/>
      <c r="M34" s="478"/>
      <c r="N34" s="338"/>
      <c r="O34" s="482"/>
      <c r="P34" s="483"/>
      <c r="Q34" s="484"/>
      <c r="R34" s="482"/>
      <c r="S34" s="483"/>
      <c r="T34" s="484"/>
      <c r="U34" s="482"/>
      <c r="V34" s="483"/>
      <c r="W34" s="484"/>
      <c r="X34" s="482"/>
      <c r="Y34" s="483"/>
      <c r="Z34" s="484"/>
      <c r="AA34" s="338"/>
      <c r="AB34" s="338"/>
      <c r="AC34" s="476"/>
      <c r="AD34" s="330"/>
      <c r="AE34" s="471"/>
      <c r="AF34" s="471"/>
      <c r="AG34" s="471"/>
    </row>
    <row r="35" spans="1:33" s="1" customFormat="1" ht="84" customHeight="1" x14ac:dyDescent="0.2">
      <c r="A35" s="414"/>
      <c r="B35" s="352"/>
      <c r="C35" s="337"/>
      <c r="D35" s="332" t="s">
        <v>331</v>
      </c>
      <c r="E35" s="333"/>
      <c r="F35" s="337"/>
      <c r="G35" s="125" t="s">
        <v>262</v>
      </c>
      <c r="H35" s="226" t="s">
        <v>328</v>
      </c>
      <c r="I35" s="226" t="s">
        <v>333</v>
      </c>
      <c r="J35" s="226" t="s">
        <v>41</v>
      </c>
      <c r="K35" s="226" t="s">
        <v>336</v>
      </c>
      <c r="L35" s="226" t="s">
        <v>36</v>
      </c>
      <c r="M35" s="266">
        <v>0.25</v>
      </c>
      <c r="N35" s="121">
        <v>4.0000000000000001E-3</v>
      </c>
      <c r="O35" s="472"/>
      <c r="P35" s="473"/>
      <c r="Q35" s="474"/>
      <c r="R35" s="442"/>
      <c r="S35" s="294"/>
      <c r="T35" s="294"/>
      <c r="U35" s="442"/>
      <c r="V35" s="294"/>
      <c r="W35" s="294"/>
      <c r="X35" s="475"/>
      <c r="Y35" s="294"/>
      <c r="Z35" s="294"/>
      <c r="AA35" s="121">
        <f>IFERROR(AVERAGE(O35:Z35)/M35,0)</f>
        <v>0</v>
      </c>
      <c r="AB35" s="121">
        <f>IF(AA35&lt;=100%,AA35*N35,N35)</f>
        <v>0</v>
      </c>
      <c r="AC35" s="476"/>
      <c r="AD35" s="188"/>
      <c r="AE35" s="189"/>
      <c r="AF35" s="189"/>
      <c r="AG35" s="251"/>
    </row>
    <row r="36" spans="1:33" s="1" customFormat="1" ht="90" customHeight="1" x14ac:dyDescent="0.2">
      <c r="A36" s="415"/>
      <c r="B36" s="353"/>
      <c r="C36" s="338"/>
      <c r="D36" s="332" t="s">
        <v>394</v>
      </c>
      <c r="E36" s="333"/>
      <c r="F36" s="338"/>
      <c r="G36" s="125" t="s">
        <v>262</v>
      </c>
      <c r="H36" s="226" t="s">
        <v>329</v>
      </c>
      <c r="I36" s="226" t="s">
        <v>334</v>
      </c>
      <c r="J36" s="226" t="s">
        <v>41</v>
      </c>
      <c r="K36" s="226" t="s">
        <v>337</v>
      </c>
      <c r="L36" s="226" t="s">
        <v>36</v>
      </c>
      <c r="M36" s="266">
        <v>0.7</v>
      </c>
      <c r="N36" s="121">
        <v>2E-3</v>
      </c>
      <c r="O36" s="472"/>
      <c r="P36" s="473"/>
      <c r="Q36" s="474"/>
      <c r="R36" s="442"/>
      <c r="S36" s="294"/>
      <c r="T36" s="294"/>
      <c r="U36" s="442"/>
      <c r="V36" s="294"/>
      <c r="W36" s="294"/>
      <c r="X36" s="442"/>
      <c r="Y36" s="294"/>
      <c r="Z36" s="294"/>
      <c r="AA36" s="121">
        <f>IFERROR(AVERAGE(U36:Z36)/M36,0)</f>
        <v>0</v>
      </c>
      <c r="AB36" s="121">
        <f>IF(AA36&lt;=100%,AA36*N36,N36)</f>
        <v>0</v>
      </c>
      <c r="AC36" s="327"/>
      <c r="AD36" s="188"/>
      <c r="AE36" s="189"/>
      <c r="AF36" s="189"/>
      <c r="AG36" s="241"/>
    </row>
    <row r="37" spans="1:33" ht="13.5" customHeight="1" x14ac:dyDescent="0.2">
      <c r="A37" s="331" t="s">
        <v>18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50">
        <f>SUM(AC11:AC36)</f>
        <v>0</v>
      </c>
      <c r="AD37" s="290"/>
      <c r="AE37" s="290"/>
      <c r="AF37" s="290"/>
      <c r="AG37" s="290"/>
    </row>
    <row r="39" spans="1:33" ht="38.25" x14ac:dyDescent="0.2">
      <c r="C39" s="108">
        <f>+C34+C28+C22+C17+C12</f>
        <v>0.31659999999999999</v>
      </c>
      <c r="AG39" s="146" t="s">
        <v>344</v>
      </c>
    </row>
  </sheetData>
  <mergeCells count="210">
    <mergeCell ref="AG9:AG10"/>
    <mergeCell ref="AA9:AA10"/>
    <mergeCell ref="AB9:AB10"/>
    <mergeCell ref="N11:N12"/>
    <mergeCell ref="Z9:Z10"/>
    <mergeCell ref="N9:N10"/>
    <mergeCell ref="O9:O10"/>
    <mergeCell ref="A1:D3"/>
    <mergeCell ref="E1:AG3"/>
    <mergeCell ref="A4:AG4"/>
    <mergeCell ref="A5:AG5"/>
    <mergeCell ref="A6:AG6"/>
    <mergeCell ref="A7:AG7"/>
    <mergeCell ref="P9:P10"/>
    <mergeCell ref="Q9:Q10"/>
    <mergeCell ref="R9:R10"/>
    <mergeCell ref="S9:S10"/>
    <mergeCell ref="A8:N8"/>
    <mergeCell ref="O8:Z8"/>
    <mergeCell ref="AD8:AG8"/>
    <mergeCell ref="A9:A10"/>
    <mergeCell ref="B9:B10"/>
    <mergeCell ref="C9:C10"/>
    <mergeCell ref="AD9:AD10"/>
    <mergeCell ref="AE9:AE10"/>
    <mergeCell ref="T9:T10"/>
    <mergeCell ref="U9:U10"/>
    <mergeCell ref="V9:V10"/>
    <mergeCell ref="W9:W10"/>
    <mergeCell ref="X9:X10"/>
    <mergeCell ref="Y9:Y10"/>
    <mergeCell ref="AF9:AF10"/>
    <mergeCell ref="J11:J12"/>
    <mergeCell ref="K11:K12"/>
    <mergeCell ref="L11:L12"/>
    <mergeCell ref="M11:M12"/>
    <mergeCell ref="AF11:AF12"/>
    <mergeCell ref="D9:E10"/>
    <mergeCell ref="F9:F10"/>
    <mergeCell ref="G9:G10"/>
    <mergeCell ref="H9:M9"/>
    <mergeCell ref="AC9:AC10"/>
    <mergeCell ref="M16:M17"/>
    <mergeCell ref="N16:N17"/>
    <mergeCell ref="O20:Q20"/>
    <mergeCell ref="R20:T20"/>
    <mergeCell ref="A16:G16"/>
    <mergeCell ref="H16:H17"/>
    <mergeCell ref="I16:I17"/>
    <mergeCell ref="J16:J17"/>
    <mergeCell ref="K16:K17"/>
    <mergeCell ref="L16:L17"/>
    <mergeCell ref="A17:A20"/>
    <mergeCell ref="B17:B20"/>
    <mergeCell ref="C17:C20"/>
    <mergeCell ref="D17:E20"/>
    <mergeCell ref="F17:F20"/>
    <mergeCell ref="G17:G20"/>
    <mergeCell ref="U20:W20"/>
    <mergeCell ref="X20:Z20"/>
    <mergeCell ref="AG11:AG12"/>
    <mergeCell ref="A12:A15"/>
    <mergeCell ref="B12:B15"/>
    <mergeCell ref="C12:C15"/>
    <mergeCell ref="D12:E15"/>
    <mergeCell ref="F12:F15"/>
    <mergeCell ref="G12:G15"/>
    <mergeCell ref="O13:Z13"/>
    <mergeCell ref="O14:Z14"/>
    <mergeCell ref="O11:Z12"/>
    <mergeCell ref="AA11:AA12"/>
    <mergeCell ref="AB11:AB12"/>
    <mergeCell ref="AC11:AC15"/>
    <mergeCell ref="AD11:AD12"/>
    <mergeCell ref="AE11:AE12"/>
    <mergeCell ref="O15:Z15"/>
    <mergeCell ref="A11:G11"/>
    <mergeCell ref="H11:H12"/>
    <mergeCell ref="I11:I12"/>
    <mergeCell ref="AG16:AG17"/>
    <mergeCell ref="O18:Q18"/>
    <mergeCell ref="R18:T18"/>
    <mergeCell ref="U18:W18"/>
    <mergeCell ref="AA16:AA17"/>
    <mergeCell ref="AB16:AB17"/>
    <mergeCell ref="AC16:AC19"/>
    <mergeCell ref="AD16:AD17"/>
    <mergeCell ref="AE16:AE17"/>
    <mergeCell ref="AF16:AF17"/>
    <mergeCell ref="O16:Q17"/>
    <mergeCell ref="R16:T17"/>
    <mergeCell ref="U16:W17"/>
    <mergeCell ref="X16:Z17"/>
    <mergeCell ref="X18:Z18"/>
    <mergeCell ref="O19:Q19"/>
    <mergeCell ref="R19:T19"/>
    <mergeCell ref="U19:W19"/>
    <mergeCell ref="X19:Z19"/>
    <mergeCell ref="A21:G21"/>
    <mergeCell ref="H21:H22"/>
    <mergeCell ref="I21:I22"/>
    <mergeCell ref="J21:J22"/>
    <mergeCell ref="K21:K22"/>
    <mergeCell ref="L21:L22"/>
    <mergeCell ref="AG21:AG22"/>
    <mergeCell ref="A22:A26"/>
    <mergeCell ref="B22:B26"/>
    <mergeCell ref="C22:C26"/>
    <mergeCell ref="D22:E26"/>
    <mergeCell ref="F22:F26"/>
    <mergeCell ref="G22:G26"/>
    <mergeCell ref="O23:Q23"/>
    <mergeCell ref="R23:T23"/>
    <mergeCell ref="U23:W23"/>
    <mergeCell ref="AA21:AA22"/>
    <mergeCell ref="AB21:AB22"/>
    <mergeCell ref="AC21:AC26"/>
    <mergeCell ref="AD21:AD22"/>
    <mergeCell ref="AE21:AE22"/>
    <mergeCell ref="AF21:AF22"/>
    <mergeCell ref="M21:M22"/>
    <mergeCell ref="N21:N22"/>
    <mergeCell ref="O21:Q22"/>
    <mergeCell ref="R21:T22"/>
    <mergeCell ref="U21:W22"/>
    <mergeCell ref="X21:Z22"/>
    <mergeCell ref="X23:Z23"/>
    <mergeCell ref="O24:Q24"/>
    <mergeCell ref="R24:T24"/>
    <mergeCell ref="U24:W24"/>
    <mergeCell ref="X24:Z24"/>
    <mergeCell ref="A27:G27"/>
    <mergeCell ref="H27:H28"/>
    <mergeCell ref="I27:I28"/>
    <mergeCell ref="J27:J28"/>
    <mergeCell ref="K27:K28"/>
    <mergeCell ref="L27:L28"/>
    <mergeCell ref="X29:Z29"/>
    <mergeCell ref="O25:Q25"/>
    <mergeCell ref="R25:T25"/>
    <mergeCell ref="U25:W25"/>
    <mergeCell ref="X25:Z25"/>
    <mergeCell ref="O27:Q28"/>
    <mergeCell ref="R27:T28"/>
    <mergeCell ref="U27:W28"/>
    <mergeCell ref="X27:Z28"/>
    <mergeCell ref="O26:Q26"/>
    <mergeCell ref="R26:T26"/>
    <mergeCell ref="U26:W26"/>
    <mergeCell ref="X26:Z26"/>
    <mergeCell ref="D31:E31"/>
    <mergeCell ref="D32:E32"/>
    <mergeCell ref="O31:Z31"/>
    <mergeCell ref="O32:Z32"/>
    <mergeCell ref="D30:E30"/>
    <mergeCell ref="O30:Z30"/>
    <mergeCell ref="AG27:AG28"/>
    <mergeCell ref="A28:A32"/>
    <mergeCell ref="B28:B32"/>
    <mergeCell ref="C28:C32"/>
    <mergeCell ref="D28:E28"/>
    <mergeCell ref="F28:F32"/>
    <mergeCell ref="D29:E29"/>
    <mergeCell ref="O29:Q29"/>
    <mergeCell ref="R29:T29"/>
    <mergeCell ref="U29:W29"/>
    <mergeCell ref="AA27:AA28"/>
    <mergeCell ref="AB27:AB28"/>
    <mergeCell ref="AC27:AC32"/>
    <mergeCell ref="AD27:AD28"/>
    <mergeCell ref="AE27:AE28"/>
    <mergeCell ref="AF27:AF28"/>
    <mergeCell ref="M27:M28"/>
    <mergeCell ref="N27:N28"/>
    <mergeCell ref="M33:M34"/>
    <mergeCell ref="N33:N34"/>
    <mergeCell ref="O33:Q34"/>
    <mergeCell ref="R33:T34"/>
    <mergeCell ref="U33:W34"/>
    <mergeCell ref="X33:Z34"/>
    <mergeCell ref="A33:G33"/>
    <mergeCell ref="H33:H34"/>
    <mergeCell ref="I33:I34"/>
    <mergeCell ref="J33:J34"/>
    <mergeCell ref="K33:K34"/>
    <mergeCell ref="D34:E34"/>
    <mergeCell ref="AD33:AD34"/>
    <mergeCell ref="AE33:AE34"/>
    <mergeCell ref="A34:A36"/>
    <mergeCell ref="B34:B36"/>
    <mergeCell ref="C34:C36"/>
    <mergeCell ref="A37:AB37"/>
    <mergeCell ref="AD37:AG37"/>
    <mergeCell ref="D35:E35"/>
    <mergeCell ref="O35:Q35"/>
    <mergeCell ref="R35:T35"/>
    <mergeCell ref="U35:W35"/>
    <mergeCell ref="X35:Z35"/>
    <mergeCell ref="D36:E36"/>
    <mergeCell ref="O36:Q36"/>
    <mergeCell ref="R36:T36"/>
    <mergeCell ref="U36:W36"/>
    <mergeCell ref="X36:Z36"/>
    <mergeCell ref="AF33:AF34"/>
    <mergeCell ref="AG33:AG34"/>
    <mergeCell ref="F34:F36"/>
    <mergeCell ref="AA33:AA34"/>
    <mergeCell ref="AB33:AB34"/>
    <mergeCell ref="AC33:AC36"/>
    <mergeCell ref="L33:L34"/>
  </mergeCells>
  <pageMargins left="0.7" right="0.7" top="0.75" bottom="0.75" header="0.3" footer="0.3"/>
  <pageSetup orientation="portrait" r:id="rId1"/>
  <ignoredErrors>
    <ignoredError sqref="F12 F34 F28 F22 F17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Y15"/>
  <sheetViews>
    <sheetView showGridLines="0" zoomScale="70" zoomScaleNormal="70" zoomScalePageLayoutView="125" workbookViewId="0">
      <selection activeCell="O11" sqref="O11"/>
    </sheetView>
  </sheetViews>
  <sheetFormatPr baseColWidth="10" defaultColWidth="10.85546875" defaultRowHeight="12.75" x14ac:dyDescent="0.2"/>
  <cols>
    <col min="1" max="1" width="18.7109375" style="12" customWidth="1"/>
    <col min="2" max="2" width="23" style="12" customWidth="1"/>
    <col min="3" max="3" width="10.28515625" style="12" customWidth="1"/>
    <col min="4" max="4" width="10.85546875" style="12"/>
    <col min="5" max="5" width="25.28515625" style="12" customWidth="1"/>
    <col min="6" max="6" width="10.42578125" style="12" customWidth="1"/>
    <col min="7" max="7" width="16.140625" style="12" customWidth="1"/>
    <col min="8" max="8" width="21.140625" style="12" customWidth="1"/>
    <col min="9" max="9" width="23.140625" style="12" customWidth="1"/>
    <col min="10" max="11" width="21.140625" style="12" customWidth="1"/>
    <col min="12" max="12" width="14.28515625" style="12" customWidth="1"/>
    <col min="13" max="13" width="10.85546875" style="12"/>
    <col min="14" max="14" width="10.42578125" style="12" customWidth="1"/>
    <col min="15" max="15" width="13.7109375" style="12" customWidth="1"/>
    <col min="16" max="16" width="13.5703125" style="12" customWidth="1"/>
    <col min="17" max="18" width="13.28515625" style="12" customWidth="1"/>
    <col min="19" max="19" width="15.42578125" style="12" customWidth="1"/>
    <col min="20" max="20" width="14.7109375" style="12" customWidth="1"/>
    <col min="21" max="21" width="12.7109375" style="12" customWidth="1"/>
    <col min="22" max="22" width="19.85546875" style="12" customWidth="1"/>
    <col min="23" max="23" width="22" style="12" customWidth="1"/>
    <col min="24" max="24" width="22.42578125" style="12" bestFit="1" customWidth="1"/>
    <col min="25" max="25" width="20.7109375" style="12" bestFit="1" customWidth="1"/>
    <col min="26" max="16384" width="10.85546875" style="12"/>
  </cols>
  <sheetData>
    <row r="1" spans="1:25" ht="13.5" customHeight="1" x14ac:dyDescent="0.2">
      <c r="A1" s="543"/>
      <c r="B1" s="543"/>
      <c r="C1" s="543"/>
      <c r="D1" s="543"/>
      <c r="E1" s="313" t="s">
        <v>0</v>
      </c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5"/>
    </row>
    <row r="2" spans="1:25" ht="13.5" customHeight="1" x14ac:dyDescent="0.2">
      <c r="A2" s="543"/>
      <c r="B2" s="543"/>
      <c r="C2" s="543"/>
      <c r="D2" s="543"/>
      <c r="E2" s="316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8"/>
    </row>
    <row r="3" spans="1:25" ht="13.5" customHeight="1" x14ac:dyDescent="0.2">
      <c r="A3" s="543"/>
      <c r="B3" s="543"/>
      <c r="C3" s="543"/>
      <c r="D3" s="543"/>
      <c r="E3" s="319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1"/>
    </row>
    <row r="4" spans="1:25" x14ac:dyDescent="0.2">
      <c r="A4" s="324" t="s">
        <v>34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</row>
    <row r="5" spans="1:25" x14ac:dyDescent="0.2">
      <c r="A5" s="324" t="s">
        <v>116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</row>
    <row r="6" spans="1:25" x14ac:dyDescent="0.2">
      <c r="A6" s="324" t="s">
        <v>440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</row>
    <row r="7" spans="1:25" x14ac:dyDescent="0.2">
      <c r="A7" s="421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3"/>
    </row>
    <row r="8" spans="1:25" x14ac:dyDescent="0.2">
      <c r="A8" s="322" t="s">
        <v>2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05" t="s">
        <v>3</v>
      </c>
      <c r="P8" s="305"/>
      <c r="Q8" s="305"/>
      <c r="R8" s="305"/>
      <c r="S8" s="135"/>
      <c r="T8" s="135"/>
      <c r="U8" s="135"/>
      <c r="V8" s="308" t="s">
        <v>4</v>
      </c>
      <c r="W8" s="308"/>
      <c r="X8" s="308"/>
      <c r="Y8" s="308"/>
    </row>
    <row r="9" spans="1:25" ht="13.5" customHeight="1" x14ac:dyDescent="0.2">
      <c r="A9" s="305" t="s">
        <v>141</v>
      </c>
      <c r="B9" s="305" t="s">
        <v>5</v>
      </c>
      <c r="C9" s="307" t="s">
        <v>6</v>
      </c>
      <c r="D9" s="305" t="s">
        <v>7</v>
      </c>
      <c r="E9" s="305"/>
      <c r="F9" s="307" t="s">
        <v>6</v>
      </c>
      <c r="G9" s="305" t="s">
        <v>8</v>
      </c>
      <c r="H9" s="305" t="s">
        <v>9</v>
      </c>
      <c r="I9" s="305"/>
      <c r="J9" s="305"/>
      <c r="K9" s="305"/>
      <c r="L9" s="305"/>
      <c r="M9" s="305"/>
      <c r="N9" s="307" t="s">
        <v>6</v>
      </c>
      <c r="O9" s="291" t="s">
        <v>406</v>
      </c>
      <c r="P9" s="291" t="s">
        <v>419</v>
      </c>
      <c r="Q9" s="291" t="s">
        <v>420</v>
      </c>
      <c r="R9" s="291" t="s">
        <v>421</v>
      </c>
      <c r="S9" s="307" t="s">
        <v>10</v>
      </c>
      <c r="T9" s="307" t="s">
        <v>11</v>
      </c>
      <c r="U9" s="307" t="s">
        <v>12</v>
      </c>
      <c r="V9" s="291" t="s">
        <v>13</v>
      </c>
      <c r="W9" s="291" t="s">
        <v>14</v>
      </c>
      <c r="X9" s="291" t="s">
        <v>15</v>
      </c>
      <c r="Y9" s="291" t="s">
        <v>16</v>
      </c>
    </row>
    <row r="10" spans="1:25" ht="51" customHeight="1" x14ac:dyDescent="0.2">
      <c r="A10" s="305"/>
      <c r="B10" s="305"/>
      <c r="C10" s="307"/>
      <c r="D10" s="305"/>
      <c r="E10" s="305"/>
      <c r="F10" s="307"/>
      <c r="G10" s="305"/>
      <c r="H10" s="135" t="s">
        <v>49</v>
      </c>
      <c r="I10" s="144" t="s">
        <v>48</v>
      </c>
      <c r="J10" s="144" t="s">
        <v>53</v>
      </c>
      <c r="K10" s="135" t="s">
        <v>37</v>
      </c>
      <c r="L10" s="144" t="s">
        <v>54</v>
      </c>
      <c r="M10" s="144" t="s">
        <v>58</v>
      </c>
      <c r="N10" s="307"/>
      <c r="O10" s="291"/>
      <c r="P10" s="291"/>
      <c r="Q10" s="291"/>
      <c r="R10" s="291"/>
      <c r="S10" s="307"/>
      <c r="T10" s="307"/>
      <c r="U10" s="307"/>
      <c r="V10" s="291"/>
      <c r="W10" s="291"/>
      <c r="X10" s="291"/>
      <c r="Y10" s="291"/>
    </row>
    <row r="11" spans="1:25" ht="147.75" customHeight="1" x14ac:dyDescent="0.2">
      <c r="A11" s="138" t="s">
        <v>140</v>
      </c>
      <c r="B11" s="138" t="str">
        <f>+'Objetivos Estratégicos'!B7</f>
        <v xml:space="preserve">Incrementar el nivel de eficiencia y eficacia operativa y administrativa en la gestión y ejecución de los procesos. </v>
      </c>
      <c r="C11" s="142">
        <f>+F11</f>
        <v>0.01</v>
      </c>
      <c r="D11" s="294" t="s">
        <v>445</v>
      </c>
      <c r="E11" s="294"/>
      <c r="F11" s="142">
        <f>+N11</f>
        <v>0.01</v>
      </c>
      <c r="G11" s="134" t="s">
        <v>35</v>
      </c>
      <c r="H11" s="134" t="s">
        <v>138</v>
      </c>
      <c r="I11" s="134" t="s">
        <v>444</v>
      </c>
      <c r="J11" s="134" t="s">
        <v>55</v>
      </c>
      <c r="K11" s="134" t="s">
        <v>139</v>
      </c>
      <c r="L11" s="134" t="s">
        <v>36</v>
      </c>
      <c r="M11" s="143">
        <v>1</v>
      </c>
      <c r="N11" s="145">
        <v>0.01</v>
      </c>
      <c r="O11" s="204"/>
      <c r="P11" s="204"/>
      <c r="Q11" s="204"/>
      <c r="R11" s="220"/>
      <c r="S11" s="203">
        <f>SUM(O11:R11)/M11</f>
        <v>0</v>
      </c>
      <c r="T11" s="137">
        <f>IF(S11&lt;=100%,S11*N11,N11)</f>
        <v>0</v>
      </c>
      <c r="U11" s="137">
        <f>(T11/1)*100</f>
        <v>0</v>
      </c>
      <c r="V11" s="157"/>
      <c r="W11" s="157"/>
      <c r="X11" s="217"/>
      <c r="Y11" s="217"/>
    </row>
    <row r="12" spans="1:25" x14ac:dyDescent="0.2">
      <c r="A12" s="331" t="s">
        <v>18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56">
        <f>SUM(U11:U11)</f>
        <v>0</v>
      </c>
      <c r="V12" s="290"/>
      <c r="W12" s="290"/>
      <c r="X12" s="290"/>
      <c r="Y12" s="290"/>
    </row>
    <row r="14" spans="1:25" ht="36" x14ac:dyDescent="0.2">
      <c r="C14" s="166">
        <f>+C11</f>
        <v>0.01</v>
      </c>
      <c r="Y14" s="129" t="s">
        <v>344</v>
      </c>
    </row>
    <row r="15" spans="1:25" x14ac:dyDescent="0.2">
      <c r="X15" s="221"/>
    </row>
  </sheetData>
  <mergeCells count="31">
    <mergeCell ref="A4:Y4"/>
    <mergeCell ref="A1:D3"/>
    <mergeCell ref="E1:Y3"/>
    <mergeCell ref="Q9:Q10"/>
    <mergeCell ref="A5:Y5"/>
    <mergeCell ref="A6:Y6"/>
    <mergeCell ref="A8:N8"/>
    <mergeCell ref="O8:R8"/>
    <mergeCell ref="V8:Y8"/>
    <mergeCell ref="G9:G10"/>
    <mergeCell ref="H9:M9"/>
    <mergeCell ref="N9:N10"/>
    <mergeCell ref="O9:O10"/>
    <mergeCell ref="P9:P10"/>
    <mergeCell ref="A7:Y7"/>
    <mergeCell ref="A12:T12"/>
    <mergeCell ref="V12:Y12"/>
    <mergeCell ref="Y9:Y10"/>
    <mergeCell ref="D11:E11"/>
    <mergeCell ref="S9:S10"/>
    <mergeCell ref="T9:T10"/>
    <mergeCell ref="U9:U10"/>
    <mergeCell ref="V9:V10"/>
    <mergeCell ref="W9:W10"/>
    <mergeCell ref="X9:X10"/>
    <mergeCell ref="R9:R10"/>
    <mergeCell ref="A9:A10"/>
    <mergeCell ref="B9:B10"/>
    <mergeCell ref="C9:C10"/>
    <mergeCell ref="D9:E10"/>
    <mergeCell ref="F9:F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31"/>
  <sheetViews>
    <sheetView showGridLines="0" tabSelected="1" zoomScaleNormal="100" workbookViewId="0">
      <selection activeCell="D5" sqref="D5"/>
    </sheetView>
  </sheetViews>
  <sheetFormatPr baseColWidth="10" defaultColWidth="10.85546875" defaultRowHeight="12.75" x14ac:dyDescent="0.2"/>
  <cols>
    <col min="1" max="1" width="3.7109375" style="3" customWidth="1"/>
    <col min="2" max="2" width="95.7109375" style="3" bestFit="1" customWidth="1"/>
    <col min="3" max="3" width="20.7109375" style="3" customWidth="1"/>
    <col min="4" max="4" width="18.28515625" style="3" customWidth="1"/>
    <col min="5" max="5" width="21.5703125" style="3" bestFit="1" customWidth="1"/>
    <col min="6" max="16384" width="10.85546875" style="3"/>
  </cols>
  <sheetData>
    <row r="1" spans="1:7" ht="32.25" customHeight="1" thickBot="1" x14ac:dyDescent="0.25">
      <c r="A1" s="287" t="s">
        <v>20</v>
      </c>
      <c r="B1" s="288"/>
      <c r="C1" s="288"/>
      <c r="D1" s="289"/>
    </row>
    <row r="2" spans="1:7" ht="30.75" thickBot="1" x14ac:dyDescent="0.3">
      <c r="A2" s="4" t="s">
        <v>21</v>
      </c>
      <c r="B2" s="5" t="s">
        <v>144</v>
      </c>
      <c r="C2" s="181" t="s">
        <v>6</v>
      </c>
      <c r="D2" s="6" t="s">
        <v>446</v>
      </c>
    </row>
    <row r="3" spans="1:7" ht="41.25" customHeight="1" x14ac:dyDescent="0.3">
      <c r="A3" s="100">
        <v>1</v>
      </c>
      <c r="B3" s="101" t="s">
        <v>26</v>
      </c>
      <c r="C3" s="102">
        <f>SUM(Gerencia!C12)+SUM('G. Programación'!C12,'G. Programación'!C14:C17)+SUM('G. Comunicaciones'!C12:C15,'G. Comunicaciones'!C17:C20)</f>
        <v>0.38500000000000001</v>
      </c>
      <c r="D3" s="102">
        <f>Gerencia!T11+(SUM('G. Programación'!AB11:AB17))+(SUM('G. Comunicaciones'!AB11:AB19))</f>
        <v>0</v>
      </c>
      <c r="E3" s="276"/>
      <c r="F3" s="275"/>
    </row>
    <row r="4" spans="1:7" ht="38.25" customHeight="1" x14ac:dyDescent="0.2">
      <c r="A4" s="103">
        <v>2</v>
      </c>
      <c r="B4" s="104" t="s">
        <v>405</v>
      </c>
      <c r="C4" s="191">
        <f>SUM('G. Programación'!C18:C19,'G. Programación'!C21:C30,'G. Programación'!C32:C41,'G. Programación'!C43)+SUM('G. Producción'!C11:C14)+SUM('G. Técnica.'!C12:C13)+SUM('G. Comunicaciones'!C22:C26)</f>
        <v>0.375</v>
      </c>
      <c r="D4" s="102">
        <f>SUM('G. Programación'!AB18:AB43)+SUM('G. Producción'!AB11:AB14)+SUM('G. Técnica.'!T11:T13)+(SUM('G. Comunicaciones'!AB21:AB26))</f>
        <v>0</v>
      </c>
      <c r="E4" s="276"/>
      <c r="F4" s="275"/>
    </row>
    <row r="5" spans="1:7" ht="39" customHeight="1" x14ac:dyDescent="0.2">
      <c r="A5" s="103">
        <v>3</v>
      </c>
      <c r="B5" s="104" t="s">
        <v>377</v>
      </c>
      <c r="C5" s="191">
        <f>SUM('G. Programación'!C45:C50)+SUM('G. Producción'!C15)+SUM('G. Agencia y Central.'!C12:C19)+SUM('G. Comunicaciones'!C28:C32)</f>
        <v>0.109966666666</v>
      </c>
      <c r="D5" s="102">
        <f>+SUM('G. Programación'!AB44:AB50)+'G. Producción'!AB15+SUM('G. Agencia y Central.'!T11:T19)+(SUM('G. Comunicaciones'!AB27:AB32))</f>
        <v>0</v>
      </c>
      <c r="E5" s="276"/>
      <c r="F5" s="275"/>
      <c r="G5" s="275"/>
    </row>
    <row r="6" spans="1:7" ht="37.5" x14ac:dyDescent="0.2">
      <c r="A6" s="103">
        <v>4</v>
      </c>
      <c r="B6" s="104" t="s">
        <v>22</v>
      </c>
      <c r="C6" s="191">
        <f>SUM(Gerencia!C13)+SUM('G. Adtiva y Fra'!C14:C15,'G. Adtiva y Fra'!C18:C19)</f>
        <v>2.1000000000000001E-2</v>
      </c>
      <c r="D6" s="102">
        <f>+Gerencia!T13+SUM('G. Adtiva y Fra'!AB13+'G. Adtiva y Fra'!AB14+'G. Adtiva y Fra'!AB18+'G. Adtiva y Fra'!AB19)</f>
        <v>0</v>
      </c>
      <c r="E6" s="276"/>
      <c r="F6" s="275"/>
    </row>
    <row r="7" spans="1:7" ht="37.5" x14ac:dyDescent="0.2">
      <c r="A7" s="103">
        <v>5</v>
      </c>
      <c r="B7" s="104" t="s">
        <v>23</v>
      </c>
      <c r="C7" s="191">
        <f>SUM(Planeación!C12)+SUM('G. Adtiva y Fra'!C12,'G. Adtiva y Fra'!C16:C17)+SUM('G. Control Interno'!C11)+SUM('G. Comunicaciones'!C34:C36)</f>
        <v>5.9999999966630004E-2</v>
      </c>
      <c r="D7" s="102">
        <f>+(SUM(Planeación!T11:T17))+SUM('G. Adtiva y Fra'!AB11,'G. Adtiva y Fra'!AB12,'G. Adtiva y Fra'!AB16,'G. Adtiva y Fra'!AB17)+'G. Control Interno'!T11+(SUM('G. Comunicaciones'!AB33:AB36))</f>
        <v>0</v>
      </c>
      <c r="E7" s="276"/>
      <c r="F7" s="275"/>
    </row>
    <row r="8" spans="1:7" ht="37.5" x14ac:dyDescent="0.2">
      <c r="A8" s="103">
        <v>6</v>
      </c>
      <c r="B8" s="104" t="s">
        <v>24</v>
      </c>
      <c r="C8" s="191">
        <f>SUM('G. Humana'!C12:C14,'G. Humana'!C16:C17,'G. Humana'!C19,'G. Humana'!C21)+SUM('G. Jurídica'!D12:D16)</f>
        <v>4.9000000000000002E-2</v>
      </c>
      <c r="D8" s="102">
        <f>+SUM('G. Humana'!T11:T21)+SUM('G. Jurídica'!U12:U16)</f>
        <v>0</v>
      </c>
      <c r="E8" s="276"/>
      <c r="F8" s="275"/>
    </row>
    <row r="9" spans="1:7" ht="24.75" customHeight="1" x14ac:dyDescent="0.2">
      <c r="A9" s="105"/>
      <c r="B9" s="179" t="s">
        <v>25</v>
      </c>
      <c r="C9" s="180">
        <f>SUM(C3:C8)</f>
        <v>0.99996666663263001</v>
      </c>
      <c r="D9" s="180">
        <f>ROUNDDOWN(SUM(D3:D8),2)</f>
        <v>0</v>
      </c>
      <c r="E9" s="276"/>
    </row>
    <row r="10" spans="1:7" x14ac:dyDescent="0.2">
      <c r="A10" s="7"/>
    </row>
    <row r="11" spans="1:7" x14ac:dyDescent="0.2">
      <c r="A11" s="7"/>
    </row>
    <row r="12" spans="1:7" ht="15.75" x14ac:dyDescent="0.2">
      <c r="A12" s="7"/>
      <c r="C12" s="179" t="s">
        <v>434</v>
      </c>
      <c r="D12" s="179" t="s">
        <v>435</v>
      </c>
    </row>
    <row r="13" spans="1:7" ht="15" x14ac:dyDescent="0.25">
      <c r="A13" s="7"/>
      <c r="B13" s="35"/>
      <c r="C13" s="249" t="s">
        <v>426</v>
      </c>
      <c r="D13" s="250">
        <f>'G. Producción'!AC16</f>
        <v>0</v>
      </c>
    </row>
    <row r="14" spans="1:7" ht="15" x14ac:dyDescent="0.25">
      <c r="A14" s="7"/>
      <c r="B14" s="35"/>
      <c r="C14" s="249" t="s">
        <v>427</v>
      </c>
      <c r="D14" s="250">
        <f>'G. Agencia y Central.'!U20</f>
        <v>0</v>
      </c>
    </row>
    <row r="15" spans="1:7" ht="15" x14ac:dyDescent="0.25">
      <c r="A15" s="7"/>
      <c r="B15" s="35"/>
      <c r="C15" s="249" t="s">
        <v>425</v>
      </c>
      <c r="D15" s="250">
        <f>'G. Programación'!AC51</f>
        <v>0</v>
      </c>
    </row>
    <row r="16" spans="1:7" ht="15" x14ac:dyDescent="0.25">
      <c r="A16" s="7"/>
      <c r="C16" s="249" t="s">
        <v>429</v>
      </c>
      <c r="D16" s="250">
        <f>'G. Humana'!U22</f>
        <v>0</v>
      </c>
    </row>
    <row r="17" spans="1:4" ht="15" x14ac:dyDescent="0.25">
      <c r="A17" s="7"/>
      <c r="C17" s="249" t="s">
        <v>432</v>
      </c>
      <c r="D17" s="250">
        <f>'G. Control Interno'!U12</f>
        <v>0</v>
      </c>
    </row>
    <row r="18" spans="1:4" ht="15" x14ac:dyDescent="0.25">
      <c r="A18" s="7"/>
      <c r="C18" s="249" t="s">
        <v>430</v>
      </c>
      <c r="D18" s="250">
        <f>'G. Jurídica'!V17</f>
        <v>0</v>
      </c>
    </row>
    <row r="19" spans="1:4" ht="15" x14ac:dyDescent="0.25">
      <c r="A19" s="7"/>
      <c r="C19" s="249" t="s">
        <v>424</v>
      </c>
      <c r="D19" s="250">
        <f>Planeación!U18</f>
        <v>0</v>
      </c>
    </row>
    <row r="20" spans="1:4" ht="15" x14ac:dyDescent="0.25">
      <c r="A20" s="7"/>
      <c r="C20" s="249" t="s">
        <v>423</v>
      </c>
      <c r="D20" s="250">
        <f>Gerencia!U14</f>
        <v>0</v>
      </c>
    </row>
    <row r="21" spans="1:4" ht="15" x14ac:dyDescent="0.25">
      <c r="A21" s="7"/>
      <c r="C21" s="249" t="s">
        <v>428</v>
      </c>
      <c r="D21" s="250">
        <f>'G. Técnica.'!U14</f>
        <v>0</v>
      </c>
    </row>
    <row r="22" spans="1:4" ht="15" x14ac:dyDescent="0.25">
      <c r="A22" s="7"/>
      <c r="C22" s="249" t="s">
        <v>433</v>
      </c>
      <c r="D22" s="250">
        <f>'G. Comunicaciones'!AC37</f>
        <v>0</v>
      </c>
    </row>
    <row r="23" spans="1:4" ht="15" x14ac:dyDescent="0.25">
      <c r="A23" s="7"/>
      <c r="B23" s="35"/>
      <c r="C23" s="249" t="s">
        <v>431</v>
      </c>
      <c r="D23" s="250">
        <f>'G. Adtiva y Fra'!AC20</f>
        <v>0</v>
      </c>
    </row>
    <row r="24" spans="1:4" x14ac:dyDescent="0.2">
      <c r="A24" s="7"/>
      <c r="D24" s="35"/>
    </row>
    <row r="25" spans="1:4" x14ac:dyDescent="0.2">
      <c r="A25" s="7"/>
    </row>
    <row r="26" spans="1:4" x14ac:dyDescent="0.2">
      <c r="A26" s="7"/>
    </row>
    <row r="27" spans="1:4" x14ac:dyDescent="0.2">
      <c r="A27" s="7"/>
    </row>
    <row r="31" spans="1:4" x14ac:dyDescent="0.2">
      <c r="B31" s="35" t="s">
        <v>143</v>
      </c>
    </row>
  </sheetData>
  <sortState ref="C13:D23">
    <sortCondition descending="1" ref="D13:D23"/>
  </sortState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128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47"/>
  <sheetViews>
    <sheetView showGridLines="0" zoomScale="70" zoomScaleNormal="70" zoomScalePageLayoutView="70" workbookViewId="0">
      <selection activeCell="S21" sqref="S21"/>
    </sheetView>
  </sheetViews>
  <sheetFormatPr baseColWidth="10" defaultColWidth="10.85546875" defaultRowHeight="12.75" x14ac:dyDescent="0.2"/>
  <cols>
    <col min="1" max="1" width="30.42578125" style="12" customWidth="1"/>
    <col min="2" max="2" width="36.140625" style="12" customWidth="1"/>
    <col min="3" max="3" width="10.42578125" style="12" customWidth="1"/>
    <col min="4" max="4" width="10.85546875" style="12"/>
    <col min="5" max="5" width="18.28515625" style="12" customWidth="1"/>
    <col min="6" max="6" width="10" style="12" customWidth="1"/>
    <col min="7" max="8" width="19.28515625" style="12" customWidth="1"/>
    <col min="9" max="9" width="31.140625" style="12" customWidth="1"/>
    <col min="10" max="10" width="23.28515625" style="12" customWidth="1"/>
    <col min="11" max="11" width="16" style="12" customWidth="1"/>
    <col min="12" max="12" width="15.42578125" style="12" customWidth="1"/>
    <col min="13" max="13" width="20.5703125" style="12" bestFit="1" customWidth="1"/>
    <col min="14" max="14" width="11.140625" style="12" customWidth="1"/>
    <col min="15" max="15" width="16.42578125" style="12" customWidth="1"/>
    <col min="16" max="16" width="14.7109375" style="12" customWidth="1"/>
    <col min="17" max="17" width="15.85546875" style="12" customWidth="1"/>
    <col min="18" max="18" width="16.42578125" style="12" customWidth="1"/>
    <col min="19" max="19" width="14" style="12" customWidth="1"/>
    <col min="20" max="20" width="15.85546875" style="12" customWidth="1"/>
    <col min="21" max="21" width="13.140625" style="12" customWidth="1"/>
    <col min="22" max="22" width="34.28515625" style="12" customWidth="1"/>
    <col min="23" max="23" width="27" style="12" customWidth="1"/>
    <col min="24" max="24" width="28" style="12" customWidth="1"/>
    <col min="25" max="25" width="28.140625" style="12" customWidth="1"/>
    <col min="26" max="16384" width="10.85546875" style="12"/>
  </cols>
  <sheetData>
    <row r="1" spans="1:25" ht="24.75" customHeight="1" x14ac:dyDescent="0.2">
      <c r="A1" s="312"/>
      <c r="B1" s="312"/>
      <c r="C1" s="312"/>
      <c r="D1" s="313" t="s">
        <v>0</v>
      </c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5"/>
    </row>
    <row r="2" spans="1:25" ht="24.75" customHeight="1" x14ac:dyDescent="0.2">
      <c r="A2" s="312"/>
      <c r="B2" s="312"/>
      <c r="C2" s="312"/>
      <c r="D2" s="316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8"/>
    </row>
    <row r="3" spans="1:25" ht="24.75" customHeight="1" x14ac:dyDescent="0.2">
      <c r="A3" s="312"/>
      <c r="B3" s="312"/>
      <c r="C3" s="312"/>
      <c r="D3" s="319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1"/>
    </row>
    <row r="4" spans="1:25" x14ac:dyDescent="0.2">
      <c r="A4" s="324" t="s">
        <v>1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</row>
    <row r="5" spans="1:25" x14ac:dyDescent="0.2">
      <c r="A5" s="324" t="s">
        <v>113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</row>
    <row r="6" spans="1:25" ht="15" customHeight="1" x14ac:dyDescent="0.2">
      <c r="A6" s="324" t="s">
        <v>440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</row>
    <row r="7" spans="1:25" x14ac:dyDescent="0.2">
      <c r="A7" s="309"/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1"/>
    </row>
    <row r="8" spans="1:25" ht="15.75" customHeight="1" x14ac:dyDescent="0.2">
      <c r="A8" s="322" t="s">
        <v>2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05" t="s">
        <v>3</v>
      </c>
      <c r="P8" s="305"/>
      <c r="Q8" s="305"/>
      <c r="R8" s="305"/>
      <c r="S8" s="66"/>
      <c r="T8" s="66"/>
      <c r="U8" s="66"/>
      <c r="V8" s="308" t="s">
        <v>4</v>
      </c>
      <c r="W8" s="308"/>
      <c r="X8" s="308"/>
      <c r="Y8" s="308"/>
    </row>
    <row r="9" spans="1:25" ht="12.75" customHeight="1" x14ac:dyDescent="0.2">
      <c r="A9" s="305" t="s">
        <v>141</v>
      </c>
      <c r="B9" s="305" t="s">
        <v>399</v>
      </c>
      <c r="C9" s="307" t="s">
        <v>6</v>
      </c>
      <c r="D9" s="305" t="s">
        <v>7</v>
      </c>
      <c r="E9" s="305"/>
      <c r="F9" s="307" t="s">
        <v>6</v>
      </c>
      <c r="G9" s="305" t="s">
        <v>8</v>
      </c>
      <c r="H9" s="305" t="s">
        <v>9</v>
      </c>
      <c r="I9" s="305"/>
      <c r="J9" s="305"/>
      <c r="K9" s="305"/>
      <c r="L9" s="305"/>
      <c r="M9" s="305"/>
      <c r="N9" s="307" t="s">
        <v>6</v>
      </c>
      <c r="O9" s="291" t="s">
        <v>406</v>
      </c>
      <c r="P9" s="291" t="s">
        <v>419</v>
      </c>
      <c r="Q9" s="291" t="s">
        <v>420</v>
      </c>
      <c r="R9" s="291" t="s">
        <v>421</v>
      </c>
      <c r="S9" s="307" t="s">
        <v>10</v>
      </c>
      <c r="T9" s="307" t="s">
        <v>11</v>
      </c>
      <c r="U9" s="307" t="s">
        <v>12</v>
      </c>
      <c r="V9" s="291" t="s">
        <v>13</v>
      </c>
      <c r="W9" s="291" t="s">
        <v>14</v>
      </c>
      <c r="X9" s="291" t="s">
        <v>15</v>
      </c>
      <c r="Y9" s="291" t="s">
        <v>16</v>
      </c>
    </row>
    <row r="10" spans="1:25" ht="51.75" customHeight="1" x14ac:dyDescent="0.2">
      <c r="A10" s="305"/>
      <c r="B10" s="305"/>
      <c r="C10" s="307"/>
      <c r="D10" s="305"/>
      <c r="E10" s="305"/>
      <c r="F10" s="307"/>
      <c r="G10" s="305"/>
      <c r="H10" s="66" t="s">
        <v>49</v>
      </c>
      <c r="I10" s="63" t="s">
        <v>48</v>
      </c>
      <c r="J10" s="63" t="s">
        <v>53</v>
      </c>
      <c r="K10" s="66" t="s">
        <v>37</v>
      </c>
      <c r="L10" s="63" t="s">
        <v>54</v>
      </c>
      <c r="M10" s="63" t="s">
        <v>58</v>
      </c>
      <c r="N10" s="307"/>
      <c r="O10" s="291"/>
      <c r="P10" s="291"/>
      <c r="Q10" s="291"/>
      <c r="R10" s="291"/>
      <c r="S10" s="307"/>
      <c r="T10" s="307"/>
      <c r="U10" s="307"/>
      <c r="V10" s="292"/>
      <c r="W10" s="292"/>
      <c r="X10" s="292"/>
      <c r="Y10" s="292"/>
    </row>
    <row r="11" spans="1:25" s="1" customFormat="1" ht="12.75" customHeight="1" x14ac:dyDescent="0.2">
      <c r="A11" s="293" t="s">
        <v>282</v>
      </c>
      <c r="B11" s="293"/>
      <c r="C11" s="293"/>
      <c r="D11" s="293"/>
      <c r="E11" s="293"/>
      <c r="F11" s="293"/>
      <c r="G11" s="293"/>
      <c r="H11" s="294" t="s">
        <v>287</v>
      </c>
      <c r="I11" s="294" t="s">
        <v>395</v>
      </c>
      <c r="J11" s="294" t="s">
        <v>41</v>
      </c>
      <c r="K11" s="294" t="s">
        <v>350</v>
      </c>
      <c r="L11" s="294" t="s">
        <v>70</v>
      </c>
      <c r="M11" s="296">
        <v>14520000000</v>
      </c>
      <c r="N11" s="297">
        <v>5.0000000000000001E-3</v>
      </c>
      <c r="O11" s="296"/>
      <c r="P11" s="296"/>
      <c r="Q11" s="296"/>
      <c r="R11" s="296"/>
      <c r="S11" s="306">
        <f>+SUM(O11:R12)/M11</f>
        <v>0</v>
      </c>
      <c r="T11" s="325">
        <f>IF(S11&lt;=100%,S11*N11,N11)</f>
        <v>0</v>
      </c>
      <c r="U11" s="306">
        <f>+T11*100</f>
        <v>0</v>
      </c>
      <c r="V11" s="323"/>
      <c r="W11" s="301"/>
      <c r="X11" s="301"/>
      <c r="Y11" s="301"/>
    </row>
    <row r="12" spans="1:25" s="1" customFormat="1" ht="122.25" customHeight="1" x14ac:dyDescent="0.2">
      <c r="A12" s="303" t="str">
        <f>'Plan de desarrollo'!B4</f>
        <v>DIMENSIÓN 1: Creemos en la cultura ciudadana</v>
      </c>
      <c r="B12" s="67" t="str">
        <f>+'Objetivos Estratégicos'!B3</f>
        <v xml:space="preserve">Elevar el nivel de competitividad y posicionamiento del Canal como plataforma de contenidos formativos, Informativos y culturales. </v>
      </c>
      <c r="C12" s="81">
        <f>+F12</f>
        <v>5.0000000000000001E-3</v>
      </c>
      <c r="D12" s="294" t="s">
        <v>288</v>
      </c>
      <c r="E12" s="294"/>
      <c r="F12" s="65">
        <f>+N11</f>
        <v>5.0000000000000001E-3</v>
      </c>
      <c r="G12" s="64" t="s">
        <v>17</v>
      </c>
      <c r="H12" s="295"/>
      <c r="I12" s="295"/>
      <c r="J12" s="295"/>
      <c r="K12" s="295"/>
      <c r="L12" s="295"/>
      <c r="M12" s="296"/>
      <c r="N12" s="295"/>
      <c r="O12" s="296"/>
      <c r="P12" s="296"/>
      <c r="Q12" s="296"/>
      <c r="R12" s="296"/>
      <c r="S12" s="306"/>
      <c r="T12" s="325"/>
      <c r="U12" s="306"/>
      <c r="V12" s="323"/>
      <c r="W12" s="302"/>
      <c r="X12" s="302"/>
      <c r="Y12" s="302"/>
    </row>
    <row r="13" spans="1:25" s="1" customFormat="1" ht="70.5" customHeight="1" x14ac:dyDescent="0.2">
      <c r="A13" s="304"/>
      <c r="B13" s="71" t="str">
        <f>'Objetivos Estratégicos'!B6</f>
        <v xml:space="preserve">Administrar y optimizar eficientemente los recursos financieros acorde con las expectativas de los asociados. </v>
      </c>
      <c r="C13" s="92">
        <f>+F13</f>
        <v>5.0000000000000001E-3</v>
      </c>
      <c r="D13" s="294" t="s">
        <v>323</v>
      </c>
      <c r="E13" s="294"/>
      <c r="F13" s="93">
        <f>+N13</f>
        <v>5.0000000000000001E-3</v>
      </c>
      <c r="G13" s="69" t="s">
        <v>17</v>
      </c>
      <c r="H13" s="85" t="s">
        <v>324</v>
      </c>
      <c r="I13" s="85" t="s">
        <v>326</v>
      </c>
      <c r="J13" s="85" t="s">
        <v>41</v>
      </c>
      <c r="K13" s="85" t="s">
        <v>325</v>
      </c>
      <c r="L13" s="113" t="s">
        <v>70</v>
      </c>
      <c r="M13" s="160">
        <v>1</v>
      </c>
      <c r="N13" s="78">
        <v>5.0000000000000001E-3</v>
      </c>
      <c r="O13" s="160"/>
      <c r="P13" s="160"/>
      <c r="Q13" s="160"/>
      <c r="R13" s="160"/>
      <c r="S13" s="86">
        <f>+SUM(O13:R13)/M13</f>
        <v>0</v>
      </c>
      <c r="T13" s="79">
        <f>IF(S13&lt;=100%,S13*N13,N13)</f>
        <v>0</v>
      </c>
      <c r="U13" s="87">
        <f>+T13*100</f>
        <v>0</v>
      </c>
      <c r="V13" s="172"/>
      <c r="W13" s="175"/>
      <c r="X13" s="193"/>
      <c r="Y13" s="219"/>
    </row>
    <row r="14" spans="1:25" ht="22.5" customHeight="1" x14ac:dyDescent="0.2">
      <c r="A14" s="298" t="s">
        <v>18</v>
      </c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300"/>
      <c r="U14" s="109">
        <f>+U11+U13</f>
        <v>0</v>
      </c>
      <c r="V14" s="290"/>
      <c r="W14" s="290"/>
      <c r="X14" s="290"/>
      <c r="Y14" s="290"/>
    </row>
    <row r="15" spans="1:25" x14ac:dyDescent="0.2">
      <c r="T15" s="108"/>
    </row>
    <row r="16" spans="1:25" ht="36" x14ac:dyDescent="0.2">
      <c r="F16" s="108">
        <f>+F12+F13</f>
        <v>0.01</v>
      </c>
      <c r="Y16" s="129" t="s">
        <v>344</v>
      </c>
    </row>
    <row r="22" spans="15:15" x14ac:dyDescent="0.2">
      <c r="O22" s="34"/>
    </row>
    <row r="45" spans="2:3" x14ac:dyDescent="0.2">
      <c r="B45" s="21"/>
    </row>
    <row r="47" spans="2:3" x14ac:dyDescent="0.2">
      <c r="B47" s="22"/>
      <c r="C47" s="22"/>
    </row>
  </sheetData>
  <mergeCells count="52">
    <mergeCell ref="A7:Y7"/>
    <mergeCell ref="A1:C3"/>
    <mergeCell ref="D1:Y3"/>
    <mergeCell ref="A8:N8"/>
    <mergeCell ref="V11:V12"/>
    <mergeCell ref="A4:Y4"/>
    <mergeCell ref="R9:R10"/>
    <mergeCell ref="S9:S10"/>
    <mergeCell ref="T9:T10"/>
    <mergeCell ref="U9:U10"/>
    <mergeCell ref="N9:N10"/>
    <mergeCell ref="O9:O10"/>
    <mergeCell ref="A5:Y5"/>
    <mergeCell ref="A6:Y6"/>
    <mergeCell ref="A9:A10"/>
    <mergeCell ref="T11:T12"/>
    <mergeCell ref="B9:B10"/>
    <mergeCell ref="C9:C10"/>
    <mergeCell ref="S11:S12"/>
    <mergeCell ref="P11:P12"/>
    <mergeCell ref="Q11:Q12"/>
    <mergeCell ref="D9:E10"/>
    <mergeCell ref="O8:R8"/>
    <mergeCell ref="U11:U12"/>
    <mergeCell ref="F9:F10"/>
    <mergeCell ref="D13:E13"/>
    <mergeCell ref="V8:Y8"/>
    <mergeCell ref="V9:V10"/>
    <mergeCell ref="W9:W10"/>
    <mergeCell ref="H9:M9"/>
    <mergeCell ref="G9:G10"/>
    <mergeCell ref="Y11:Y12"/>
    <mergeCell ref="D12:E12"/>
    <mergeCell ref="R11:R12"/>
    <mergeCell ref="P9:P10"/>
    <mergeCell ref="Q9:Q10"/>
    <mergeCell ref="V14:Y14"/>
    <mergeCell ref="X9:X10"/>
    <mergeCell ref="Y9:Y10"/>
    <mergeCell ref="A11:G11"/>
    <mergeCell ref="H11:H12"/>
    <mergeCell ref="I11:I12"/>
    <mergeCell ref="J11:J12"/>
    <mergeCell ref="K11:K12"/>
    <mergeCell ref="L11:L12"/>
    <mergeCell ref="M11:M12"/>
    <mergeCell ref="N11:N12"/>
    <mergeCell ref="O11:O12"/>
    <mergeCell ref="A14:T14"/>
    <mergeCell ref="W11:W12"/>
    <mergeCell ref="X11:X12"/>
    <mergeCell ref="A12:A1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20"/>
  <sheetViews>
    <sheetView showGridLines="0" topLeftCell="E1" zoomScale="70" zoomScaleNormal="70" zoomScalePageLayoutView="85" workbookViewId="0">
      <selection activeCell="V11" sqref="V11:V17"/>
    </sheetView>
  </sheetViews>
  <sheetFormatPr baseColWidth="10" defaultColWidth="10.85546875" defaultRowHeight="12.75" x14ac:dyDescent="0.2"/>
  <cols>
    <col min="1" max="1" width="23.140625" style="12" customWidth="1"/>
    <col min="2" max="2" width="26.85546875" style="12" customWidth="1"/>
    <col min="3" max="3" width="11" style="12" customWidth="1"/>
    <col min="4" max="5" width="10.85546875" style="12"/>
    <col min="6" max="6" width="11" style="12" customWidth="1"/>
    <col min="7" max="7" width="13.7109375" style="12" customWidth="1"/>
    <col min="8" max="8" width="15.85546875" style="12" customWidth="1"/>
    <col min="9" max="9" width="24.28515625" style="12" customWidth="1"/>
    <col min="10" max="10" width="20.42578125" style="12" customWidth="1"/>
    <col min="11" max="11" width="16.85546875" style="12" customWidth="1"/>
    <col min="12" max="12" width="15.42578125" style="12" customWidth="1"/>
    <col min="13" max="13" width="10.85546875" style="12"/>
    <col min="14" max="14" width="11" style="12" customWidth="1"/>
    <col min="15" max="16" width="12" style="12" customWidth="1"/>
    <col min="17" max="17" width="12.28515625" style="12" customWidth="1"/>
    <col min="18" max="18" width="12" style="12" customWidth="1"/>
    <col min="19" max="19" width="12.28515625" style="12" customWidth="1"/>
    <col min="20" max="20" width="14.42578125" style="12" customWidth="1"/>
    <col min="21" max="21" width="13" style="12" customWidth="1"/>
    <col min="22" max="22" width="39.42578125" style="12" customWidth="1"/>
    <col min="23" max="25" width="33.7109375" style="12" customWidth="1"/>
    <col min="26" max="16384" width="10.85546875" style="12"/>
  </cols>
  <sheetData>
    <row r="1" spans="1:25" ht="18.75" customHeight="1" x14ac:dyDescent="0.2">
      <c r="A1" s="312"/>
      <c r="B1" s="312"/>
      <c r="C1" s="312"/>
      <c r="D1" s="312"/>
      <c r="E1" s="313" t="s">
        <v>0</v>
      </c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5"/>
    </row>
    <row r="2" spans="1:25" ht="15.75" customHeight="1" x14ac:dyDescent="0.2">
      <c r="A2" s="312"/>
      <c r="B2" s="312"/>
      <c r="C2" s="312"/>
      <c r="D2" s="312"/>
      <c r="E2" s="316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8"/>
    </row>
    <row r="3" spans="1:25" ht="15.75" customHeight="1" x14ac:dyDescent="0.2">
      <c r="A3" s="312"/>
      <c r="B3" s="312"/>
      <c r="C3" s="312"/>
      <c r="D3" s="312"/>
      <c r="E3" s="319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1"/>
    </row>
    <row r="4" spans="1:25" x14ac:dyDescent="0.2">
      <c r="A4" s="324" t="s">
        <v>28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</row>
    <row r="5" spans="1:25" ht="16.5" customHeight="1" x14ac:dyDescent="0.2">
      <c r="A5" s="324" t="s">
        <v>142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</row>
    <row r="6" spans="1:25" x14ac:dyDescent="0.2">
      <c r="A6" s="324" t="s">
        <v>440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</row>
    <row r="7" spans="1:25" x14ac:dyDescent="0.2">
      <c r="A7" s="309"/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1"/>
    </row>
    <row r="8" spans="1:25" x14ac:dyDescent="0.2">
      <c r="A8" s="322" t="s">
        <v>2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05" t="s">
        <v>3</v>
      </c>
      <c r="P8" s="305"/>
      <c r="Q8" s="305"/>
      <c r="R8" s="305"/>
      <c r="S8" s="54"/>
      <c r="T8" s="54"/>
      <c r="U8" s="54"/>
      <c r="V8" s="308" t="s">
        <v>4</v>
      </c>
      <c r="W8" s="308"/>
      <c r="X8" s="308"/>
      <c r="Y8" s="308"/>
    </row>
    <row r="9" spans="1:25" ht="12.75" customHeight="1" x14ac:dyDescent="0.2">
      <c r="A9" s="305" t="s">
        <v>141</v>
      </c>
      <c r="B9" s="305" t="s">
        <v>397</v>
      </c>
      <c r="C9" s="307" t="s">
        <v>6</v>
      </c>
      <c r="D9" s="305" t="s">
        <v>7</v>
      </c>
      <c r="E9" s="305"/>
      <c r="F9" s="307" t="s">
        <v>6</v>
      </c>
      <c r="G9" s="305" t="s">
        <v>8</v>
      </c>
      <c r="H9" s="305" t="s">
        <v>9</v>
      </c>
      <c r="I9" s="305"/>
      <c r="J9" s="305"/>
      <c r="K9" s="305"/>
      <c r="L9" s="305"/>
      <c r="M9" s="305"/>
      <c r="N9" s="307" t="s">
        <v>6</v>
      </c>
      <c r="O9" s="291" t="s">
        <v>406</v>
      </c>
      <c r="P9" s="291" t="s">
        <v>419</v>
      </c>
      <c r="Q9" s="291" t="s">
        <v>420</v>
      </c>
      <c r="R9" s="291" t="s">
        <v>421</v>
      </c>
      <c r="S9" s="307" t="s">
        <v>10</v>
      </c>
      <c r="T9" s="307" t="s">
        <v>11</v>
      </c>
      <c r="U9" s="307" t="s">
        <v>12</v>
      </c>
      <c r="V9" s="291" t="s">
        <v>13</v>
      </c>
      <c r="W9" s="291" t="s">
        <v>109</v>
      </c>
      <c r="X9" s="291" t="s">
        <v>15</v>
      </c>
      <c r="Y9" s="291" t="s">
        <v>16</v>
      </c>
    </row>
    <row r="10" spans="1:25" ht="38.25" customHeight="1" x14ac:dyDescent="0.2">
      <c r="A10" s="305"/>
      <c r="B10" s="305"/>
      <c r="C10" s="307"/>
      <c r="D10" s="305"/>
      <c r="E10" s="305"/>
      <c r="F10" s="307"/>
      <c r="G10" s="305"/>
      <c r="H10" s="54" t="s">
        <v>49</v>
      </c>
      <c r="I10" s="63" t="s">
        <v>48</v>
      </c>
      <c r="J10" s="63" t="s">
        <v>53</v>
      </c>
      <c r="K10" s="54" t="s">
        <v>37</v>
      </c>
      <c r="L10" s="63" t="s">
        <v>54</v>
      </c>
      <c r="M10" s="63" t="s">
        <v>58</v>
      </c>
      <c r="N10" s="307"/>
      <c r="O10" s="291"/>
      <c r="P10" s="291"/>
      <c r="Q10" s="291"/>
      <c r="R10" s="291"/>
      <c r="S10" s="307"/>
      <c r="T10" s="307"/>
      <c r="U10" s="307"/>
      <c r="V10" s="292"/>
      <c r="W10" s="292"/>
      <c r="X10" s="292"/>
      <c r="Y10" s="292"/>
    </row>
    <row r="11" spans="1:25" s="1" customFormat="1" x14ac:dyDescent="0.2">
      <c r="A11" s="293" t="s">
        <v>227</v>
      </c>
      <c r="B11" s="293"/>
      <c r="C11" s="293"/>
      <c r="D11" s="293"/>
      <c r="E11" s="293"/>
      <c r="F11" s="293"/>
      <c r="G11" s="293"/>
      <c r="H11" s="294" t="s">
        <v>249</v>
      </c>
      <c r="I11" s="294" t="s">
        <v>379</v>
      </c>
      <c r="J11" s="294" t="s">
        <v>41</v>
      </c>
      <c r="K11" s="294" t="s">
        <v>250</v>
      </c>
      <c r="L11" s="294" t="s">
        <v>36</v>
      </c>
      <c r="M11" s="334">
        <v>10</v>
      </c>
      <c r="N11" s="297">
        <v>5.0000000000000001E-3</v>
      </c>
      <c r="O11" s="334"/>
      <c r="P11" s="294"/>
      <c r="Q11" s="341"/>
      <c r="R11" s="341"/>
      <c r="S11" s="306">
        <f>IFERROR(AVERAGE(O11:R12)/M11,0%)</f>
        <v>0</v>
      </c>
      <c r="T11" s="325">
        <f>IF(S11&lt;=100%,S11*N11,N11)</f>
        <v>0</v>
      </c>
      <c r="U11" s="326">
        <f>(T11/2)*100</f>
        <v>0</v>
      </c>
      <c r="V11" s="329"/>
      <c r="W11" s="301"/>
      <c r="X11" s="323"/>
      <c r="Y11" s="323"/>
    </row>
    <row r="12" spans="1:25" s="1" customFormat="1" ht="84" customHeight="1" x14ac:dyDescent="0.2">
      <c r="A12" s="339" t="str">
        <f>+'Plan de desarrollo'!B4</f>
        <v>DIMENSIÓN 1: Creemos en la cultura ciudadana</v>
      </c>
      <c r="B12" s="340" t="str">
        <f>'Objetivos Estratégicos'!B7</f>
        <v xml:space="preserve">Incrementar el nivel de eficiencia y eficacia operativa y administrativa en la gestión y ejecución de los procesos. </v>
      </c>
      <c r="C12" s="297">
        <f>+F12</f>
        <v>1.9999999966629999E-2</v>
      </c>
      <c r="D12" s="294" t="s">
        <v>248</v>
      </c>
      <c r="E12" s="294"/>
      <c r="F12" s="336">
        <f>+SUM(N11:N17)</f>
        <v>1.9999999966629999E-2</v>
      </c>
      <c r="G12" s="246" t="s">
        <v>422</v>
      </c>
      <c r="H12" s="295"/>
      <c r="I12" s="295"/>
      <c r="J12" s="295"/>
      <c r="K12" s="295"/>
      <c r="L12" s="295"/>
      <c r="M12" s="335"/>
      <c r="N12" s="295"/>
      <c r="O12" s="335"/>
      <c r="P12" s="294"/>
      <c r="Q12" s="341"/>
      <c r="R12" s="341"/>
      <c r="S12" s="306"/>
      <c r="T12" s="325"/>
      <c r="U12" s="327"/>
      <c r="V12" s="330"/>
      <c r="W12" s="328"/>
      <c r="X12" s="323"/>
      <c r="Y12" s="323"/>
    </row>
    <row r="13" spans="1:25" s="1" customFormat="1" ht="92.25" customHeight="1" x14ac:dyDescent="0.2">
      <c r="A13" s="339"/>
      <c r="B13" s="340"/>
      <c r="C13" s="297"/>
      <c r="D13" s="294" t="s">
        <v>251</v>
      </c>
      <c r="E13" s="294"/>
      <c r="F13" s="337"/>
      <c r="G13" s="51" t="s">
        <v>247</v>
      </c>
      <c r="H13" s="51" t="s">
        <v>252</v>
      </c>
      <c r="I13" s="51" t="s">
        <v>437</v>
      </c>
      <c r="J13" s="51" t="s">
        <v>41</v>
      </c>
      <c r="K13" s="51" t="s">
        <v>436</v>
      </c>
      <c r="L13" s="114" t="s">
        <v>36</v>
      </c>
      <c r="M13" s="259">
        <v>1</v>
      </c>
      <c r="N13" s="52">
        <v>2.5000000000000001E-3</v>
      </c>
      <c r="O13" s="279"/>
      <c r="P13" s="279"/>
      <c r="Q13" s="33"/>
      <c r="R13" s="33"/>
      <c r="S13" s="52">
        <f>IF(SUM(O13:R13)&gt;=M13,100%,((SUM(O13:R13))/M13))</f>
        <v>0</v>
      </c>
      <c r="T13" s="52">
        <f>IF(S13&lt;=100%,S13*N13,N13)</f>
        <v>0</v>
      </c>
      <c r="U13" s="72">
        <f>(T13/2)*100</f>
        <v>0</v>
      </c>
      <c r="V13" s="156"/>
      <c r="W13" s="156"/>
      <c r="X13" s="192"/>
      <c r="Y13" s="218"/>
    </row>
    <row r="14" spans="1:25" ht="70.5" customHeight="1" x14ac:dyDescent="0.2">
      <c r="A14" s="339"/>
      <c r="B14" s="340"/>
      <c r="C14" s="297"/>
      <c r="D14" s="332" t="s">
        <v>29</v>
      </c>
      <c r="E14" s="333"/>
      <c r="F14" s="337"/>
      <c r="G14" s="64" t="s">
        <v>247</v>
      </c>
      <c r="H14" s="51" t="s">
        <v>39</v>
      </c>
      <c r="I14" s="154" t="s">
        <v>351</v>
      </c>
      <c r="J14" s="51" t="s">
        <v>38</v>
      </c>
      <c r="K14" s="51" t="s">
        <v>96</v>
      </c>
      <c r="L14" s="114" t="s">
        <v>36</v>
      </c>
      <c r="M14" s="32">
        <v>1</v>
      </c>
      <c r="N14" s="52">
        <v>2.5000000000000001E-3</v>
      </c>
      <c r="O14" s="32"/>
      <c r="P14" s="32"/>
      <c r="Q14" s="33"/>
      <c r="R14" s="33"/>
      <c r="S14" s="52">
        <f>SUM(O14:R14)/M14</f>
        <v>0</v>
      </c>
      <c r="T14" s="52">
        <f>IF(S14&lt;=100%,S14*N14,N14)</f>
        <v>0</v>
      </c>
      <c r="U14" s="106">
        <f>(T14/2)*100</f>
        <v>0</v>
      </c>
      <c r="V14" s="156"/>
      <c r="W14" s="156"/>
      <c r="X14" s="55"/>
      <c r="Y14" s="53"/>
    </row>
    <row r="15" spans="1:25" ht="132" customHeight="1" x14ac:dyDescent="0.2">
      <c r="A15" s="339"/>
      <c r="B15" s="340"/>
      <c r="C15" s="297"/>
      <c r="D15" s="332" t="s">
        <v>345</v>
      </c>
      <c r="E15" s="333"/>
      <c r="F15" s="337"/>
      <c r="G15" s="64" t="s">
        <v>247</v>
      </c>
      <c r="H15" s="51" t="s">
        <v>121</v>
      </c>
      <c r="I15" s="69" t="s">
        <v>123</v>
      </c>
      <c r="J15" s="51" t="s">
        <v>38</v>
      </c>
      <c r="K15" s="51" t="s">
        <v>125</v>
      </c>
      <c r="L15" s="114" t="s">
        <v>36</v>
      </c>
      <c r="M15" s="32">
        <v>1</v>
      </c>
      <c r="N15" s="52">
        <v>3.3333333333E-3</v>
      </c>
      <c r="O15" s="32"/>
      <c r="P15" s="32"/>
      <c r="Q15" s="33"/>
      <c r="R15" s="33"/>
      <c r="S15" s="52">
        <f>SUM(O15:R15)/M15</f>
        <v>0</v>
      </c>
      <c r="T15" s="52">
        <f>IF(S15&lt;=100%,S15*N15,N15)</f>
        <v>0</v>
      </c>
      <c r="U15" s="106">
        <f>(T15/2)*100</f>
        <v>0</v>
      </c>
      <c r="V15" s="281"/>
      <c r="W15" s="115"/>
      <c r="X15" s="194"/>
      <c r="Y15" s="53"/>
    </row>
    <row r="16" spans="1:25" ht="147.75" customHeight="1" x14ac:dyDescent="0.2">
      <c r="A16" s="339"/>
      <c r="B16" s="340"/>
      <c r="C16" s="297"/>
      <c r="D16" s="332" t="s">
        <v>378</v>
      </c>
      <c r="E16" s="333"/>
      <c r="F16" s="337"/>
      <c r="G16" s="64" t="s">
        <v>247</v>
      </c>
      <c r="H16" s="51" t="s">
        <v>126</v>
      </c>
      <c r="I16" s="69" t="s">
        <v>124</v>
      </c>
      <c r="J16" s="51" t="s">
        <v>38</v>
      </c>
      <c r="K16" s="51" t="s">
        <v>125</v>
      </c>
      <c r="L16" s="114" t="s">
        <v>36</v>
      </c>
      <c r="M16" s="32">
        <v>0.9</v>
      </c>
      <c r="N16" s="52">
        <v>3.3333333333299998E-3</v>
      </c>
      <c r="O16" s="32"/>
      <c r="P16" s="32"/>
      <c r="Q16" s="33"/>
      <c r="R16" s="33"/>
      <c r="S16" s="52">
        <f>SUM(O16:R16)/M16</f>
        <v>0</v>
      </c>
      <c r="T16" s="52">
        <f>IF(S16&lt;=100%,S16*N16,N16)</f>
        <v>0</v>
      </c>
      <c r="U16" s="106">
        <f>(T16/2)*100</f>
        <v>0</v>
      </c>
      <c r="V16" s="280"/>
      <c r="W16" s="156"/>
      <c r="X16" s="194"/>
      <c r="Y16" s="53"/>
    </row>
    <row r="17" spans="1:25" ht="144.75" customHeight="1" x14ac:dyDescent="0.2">
      <c r="A17" s="339"/>
      <c r="B17" s="340"/>
      <c r="C17" s="297"/>
      <c r="D17" s="332" t="s">
        <v>127</v>
      </c>
      <c r="E17" s="333"/>
      <c r="F17" s="338"/>
      <c r="G17" s="64" t="s">
        <v>247</v>
      </c>
      <c r="H17" s="51" t="s">
        <v>122</v>
      </c>
      <c r="I17" s="69" t="s">
        <v>438</v>
      </c>
      <c r="J17" s="51" t="s">
        <v>40</v>
      </c>
      <c r="K17" s="51" t="s">
        <v>439</v>
      </c>
      <c r="L17" s="114" t="s">
        <v>36</v>
      </c>
      <c r="M17" s="32">
        <v>1</v>
      </c>
      <c r="N17" s="52">
        <v>3.3333333000000001E-3</v>
      </c>
      <c r="O17" s="32"/>
      <c r="P17" s="32"/>
      <c r="Q17" s="33"/>
      <c r="R17" s="33"/>
      <c r="S17" s="52">
        <f>SUM(O17:R17)/M17</f>
        <v>0</v>
      </c>
      <c r="T17" s="52">
        <f>IF(S17&lt;=100%,S17*N17,N17)</f>
        <v>0</v>
      </c>
      <c r="U17" s="106">
        <f>(T17/2)*100</f>
        <v>0</v>
      </c>
      <c r="V17" s="156"/>
      <c r="W17" s="156"/>
      <c r="X17" s="194"/>
      <c r="Y17" s="218"/>
    </row>
    <row r="18" spans="1:25" ht="17.25" customHeight="1" x14ac:dyDescent="0.2">
      <c r="A18" s="331" t="s">
        <v>18</v>
      </c>
      <c r="B18" s="331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68">
        <f>SUM(U11:U17)</f>
        <v>0</v>
      </c>
      <c r="V18" s="312"/>
      <c r="W18" s="312"/>
      <c r="X18" s="312"/>
      <c r="Y18" s="312"/>
    </row>
    <row r="20" spans="1:25" ht="36" x14ac:dyDescent="0.2">
      <c r="C20" s="108">
        <f>+C12</f>
        <v>1.9999999966629999E-2</v>
      </c>
      <c r="T20" s="108"/>
      <c r="Y20" s="129" t="s">
        <v>344</v>
      </c>
    </row>
  </sheetData>
  <mergeCells count="59">
    <mergeCell ref="D13:E13"/>
    <mergeCell ref="Q11:Q12"/>
    <mergeCell ref="R11:R12"/>
    <mergeCell ref="S11:S12"/>
    <mergeCell ref="T11:T12"/>
    <mergeCell ref="L11:L12"/>
    <mergeCell ref="G9:G10"/>
    <mergeCell ref="S9:S10"/>
    <mergeCell ref="M11:M12"/>
    <mergeCell ref="N11:N12"/>
    <mergeCell ref="O11:O12"/>
    <mergeCell ref="P11:P12"/>
    <mergeCell ref="A11:G11"/>
    <mergeCell ref="H11:H12"/>
    <mergeCell ref="I11:I12"/>
    <mergeCell ref="J11:J12"/>
    <mergeCell ref="K11:K12"/>
    <mergeCell ref="F12:F17"/>
    <mergeCell ref="D12:E12"/>
    <mergeCell ref="A12:A17"/>
    <mergeCell ref="B12:B17"/>
    <mergeCell ref="C12:C17"/>
    <mergeCell ref="A1:D3"/>
    <mergeCell ref="A5:Y5"/>
    <mergeCell ref="A6:Y6"/>
    <mergeCell ref="A8:N8"/>
    <mergeCell ref="A4:Y4"/>
    <mergeCell ref="O8:R8"/>
    <mergeCell ref="V8:Y8"/>
    <mergeCell ref="E1:Y3"/>
    <mergeCell ref="A7:Y7"/>
    <mergeCell ref="P9:P10"/>
    <mergeCell ref="A18:T18"/>
    <mergeCell ref="D15:E15"/>
    <mergeCell ref="D17:E17"/>
    <mergeCell ref="D16:E16"/>
    <mergeCell ref="D14:E14"/>
    <mergeCell ref="A9:A10"/>
    <mergeCell ref="H9:M9"/>
    <mergeCell ref="D9:E10"/>
    <mergeCell ref="F9:F10"/>
    <mergeCell ref="B9:B10"/>
    <mergeCell ref="C9:C10"/>
    <mergeCell ref="N9:N10"/>
    <mergeCell ref="O9:O10"/>
    <mergeCell ref="Q9:Q10"/>
    <mergeCell ref="R9:R10"/>
    <mergeCell ref="T9:T10"/>
    <mergeCell ref="V18:Y18"/>
    <mergeCell ref="Y9:Y10"/>
    <mergeCell ref="W9:W10"/>
    <mergeCell ref="U11:U12"/>
    <mergeCell ref="X9:X10"/>
    <mergeCell ref="U9:U10"/>
    <mergeCell ref="V9:V10"/>
    <mergeCell ref="W11:W12"/>
    <mergeCell ref="X11:X12"/>
    <mergeCell ref="Y11:Y12"/>
    <mergeCell ref="V11:V1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54"/>
  <sheetViews>
    <sheetView showGridLines="0" topLeftCell="K1" zoomScale="60" zoomScaleNormal="60" zoomScalePageLayoutView="70" workbookViewId="0">
      <selection activeCell="U11" sqref="U11:W12"/>
    </sheetView>
  </sheetViews>
  <sheetFormatPr baseColWidth="10" defaultColWidth="10.85546875" defaultRowHeight="12.75" x14ac:dyDescent="0.2"/>
  <cols>
    <col min="1" max="1" width="24.140625" style="12" customWidth="1"/>
    <col min="2" max="2" width="21.7109375" style="12" customWidth="1"/>
    <col min="3" max="3" width="18" style="12" customWidth="1"/>
    <col min="4" max="4" width="11.5703125" style="12" customWidth="1"/>
    <col min="5" max="5" width="16" style="12" customWidth="1"/>
    <col min="6" max="6" width="18.5703125" style="12" bestFit="1" customWidth="1"/>
    <col min="7" max="7" width="18.85546875" style="12" customWidth="1"/>
    <col min="8" max="8" width="24.85546875" style="12" customWidth="1"/>
    <col min="9" max="9" width="28.42578125" style="12" customWidth="1"/>
    <col min="10" max="10" width="12.28515625" style="12" customWidth="1"/>
    <col min="11" max="11" width="20.85546875" style="12" customWidth="1"/>
    <col min="12" max="12" width="13.5703125" style="12" bestFit="1" customWidth="1"/>
    <col min="13" max="13" width="10.42578125" style="12" customWidth="1"/>
    <col min="14" max="14" width="18.5703125" style="12" bestFit="1" customWidth="1"/>
    <col min="15" max="26" width="14.42578125" style="12" customWidth="1"/>
    <col min="27" max="27" width="16.42578125" style="12" customWidth="1"/>
    <col min="28" max="28" width="14.85546875" style="12" customWidth="1"/>
    <col min="29" max="29" width="14.140625" style="12" customWidth="1"/>
    <col min="30" max="30" width="43.28515625" style="12" customWidth="1"/>
    <col min="31" max="31" width="44.42578125" style="12" customWidth="1"/>
    <col min="32" max="32" width="43.28515625" style="12" customWidth="1"/>
    <col min="33" max="33" width="45.7109375" style="12" customWidth="1"/>
    <col min="34" max="16384" width="10.85546875" style="12"/>
  </cols>
  <sheetData>
    <row r="1" spans="1:33" ht="13.5" customHeight="1" x14ac:dyDescent="0.2">
      <c r="A1" s="312"/>
      <c r="B1" s="312"/>
      <c r="C1" s="312"/>
      <c r="D1" s="312"/>
      <c r="E1" s="313" t="s">
        <v>0</v>
      </c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5"/>
    </row>
    <row r="2" spans="1:33" ht="13.5" customHeight="1" x14ac:dyDescent="0.2">
      <c r="A2" s="312"/>
      <c r="B2" s="312"/>
      <c r="C2" s="312"/>
      <c r="D2" s="312"/>
      <c r="E2" s="316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8"/>
    </row>
    <row r="3" spans="1:33" ht="13.5" customHeight="1" x14ac:dyDescent="0.2">
      <c r="A3" s="312"/>
      <c r="B3" s="312"/>
      <c r="C3" s="312"/>
      <c r="D3" s="312"/>
      <c r="E3" s="319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1"/>
    </row>
    <row r="4" spans="1:33" ht="15.75" customHeight="1" x14ac:dyDescent="0.2">
      <c r="A4" s="324" t="s">
        <v>110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</row>
    <row r="5" spans="1:33" ht="15" customHeight="1" x14ac:dyDescent="0.2">
      <c r="A5" s="324" t="s">
        <v>115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>
        <f>SUM(AB13:AB50)</f>
        <v>0</v>
      </c>
      <c r="AE5" s="324"/>
      <c r="AF5" s="324"/>
      <c r="AG5" s="324"/>
    </row>
    <row r="6" spans="1:33" x14ac:dyDescent="0.2">
      <c r="A6" s="324" t="s">
        <v>440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 t="e">
        <f>SUM(#REF!)</f>
        <v>#REF!</v>
      </c>
      <c r="AE6" s="324"/>
      <c r="AF6" s="324"/>
      <c r="AG6" s="324"/>
    </row>
    <row r="7" spans="1:33" ht="15.75" customHeight="1" x14ac:dyDescent="0.2">
      <c r="A7" s="312"/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</row>
    <row r="8" spans="1:33" x14ac:dyDescent="0.2">
      <c r="A8" s="322" t="s">
        <v>2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05" t="s">
        <v>3</v>
      </c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120"/>
      <c r="AB8" s="120"/>
      <c r="AC8" s="120"/>
      <c r="AD8" s="308" t="s">
        <v>4</v>
      </c>
      <c r="AE8" s="308"/>
      <c r="AF8" s="308"/>
      <c r="AG8" s="308"/>
    </row>
    <row r="9" spans="1:33" ht="12.75" customHeight="1" x14ac:dyDescent="0.2">
      <c r="A9" s="305" t="s">
        <v>141</v>
      </c>
      <c r="B9" s="305" t="s">
        <v>397</v>
      </c>
      <c r="C9" s="307" t="s">
        <v>6</v>
      </c>
      <c r="D9" s="305" t="s">
        <v>7</v>
      </c>
      <c r="E9" s="305"/>
      <c r="F9" s="307" t="s">
        <v>6</v>
      </c>
      <c r="G9" s="305" t="s">
        <v>8</v>
      </c>
      <c r="H9" s="400" t="s">
        <v>47</v>
      </c>
      <c r="I9" s="400"/>
      <c r="J9" s="400"/>
      <c r="K9" s="400"/>
      <c r="L9" s="400"/>
      <c r="M9" s="400"/>
      <c r="N9" s="307" t="s">
        <v>6</v>
      </c>
      <c r="O9" s="291" t="s">
        <v>407</v>
      </c>
      <c r="P9" s="291" t="s">
        <v>408</v>
      </c>
      <c r="Q9" s="291" t="s">
        <v>409</v>
      </c>
      <c r="R9" s="291" t="s">
        <v>410</v>
      </c>
      <c r="S9" s="291" t="s">
        <v>411</v>
      </c>
      <c r="T9" s="291" t="s">
        <v>412</v>
      </c>
      <c r="U9" s="291" t="s">
        <v>413</v>
      </c>
      <c r="V9" s="291" t="s">
        <v>414</v>
      </c>
      <c r="W9" s="291" t="s">
        <v>415</v>
      </c>
      <c r="X9" s="291" t="s">
        <v>416</v>
      </c>
      <c r="Y9" s="291" t="s">
        <v>417</v>
      </c>
      <c r="Z9" s="291" t="s">
        <v>418</v>
      </c>
      <c r="AA9" s="307" t="s">
        <v>10</v>
      </c>
      <c r="AB9" s="307" t="s">
        <v>11</v>
      </c>
      <c r="AC9" s="307" t="s">
        <v>12</v>
      </c>
      <c r="AD9" s="291" t="s">
        <v>13</v>
      </c>
      <c r="AE9" s="291" t="s">
        <v>14</v>
      </c>
      <c r="AF9" s="291" t="s">
        <v>15</v>
      </c>
      <c r="AG9" s="291" t="s">
        <v>16</v>
      </c>
    </row>
    <row r="10" spans="1:33" ht="41.25" customHeight="1" x14ac:dyDescent="0.2">
      <c r="A10" s="305"/>
      <c r="B10" s="305"/>
      <c r="C10" s="307"/>
      <c r="D10" s="305"/>
      <c r="E10" s="305"/>
      <c r="F10" s="307"/>
      <c r="G10" s="305"/>
      <c r="H10" s="46" t="s">
        <v>49</v>
      </c>
      <c r="I10" s="126" t="s">
        <v>48</v>
      </c>
      <c r="J10" s="126" t="s">
        <v>53</v>
      </c>
      <c r="K10" s="46" t="s">
        <v>37</v>
      </c>
      <c r="L10" s="126" t="s">
        <v>54</v>
      </c>
      <c r="M10" s="46" t="s">
        <v>67</v>
      </c>
      <c r="N10" s="307"/>
      <c r="O10" s="292"/>
      <c r="P10" s="292"/>
      <c r="Q10" s="292"/>
      <c r="R10" s="292"/>
      <c r="S10" s="292"/>
      <c r="T10" s="291"/>
      <c r="U10" s="291"/>
      <c r="V10" s="291"/>
      <c r="W10" s="292"/>
      <c r="X10" s="292"/>
      <c r="Y10" s="292"/>
      <c r="Z10" s="292"/>
      <c r="AA10" s="307"/>
      <c r="AB10" s="307"/>
      <c r="AC10" s="307"/>
      <c r="AD10" s="292"/>
      <c r="AE10" s="291"/>
      <c r="AF10" s="292"/>
      <c r="AG10" s="292"/>
    </row>
    <row r="11" spans="1:33" ht="15.75" customHeight="1" x14ac:dyDescent="0.2">
      <c r="A11" s="293" t="s">
        <v>157</v>
      </c>
      <c r="B11" s="293"/>
      <c r="C11" s="293"/>
      <c r="D11" s="293"/>
      <c r="E11" s="293"/>
      <c r="F11" s="293"/>
      <c r="G11" s="293"/>
      <c r="H11" s="294" t="s">
        <v>362</v>
      </c>
      <c r="I11" s="294" t="s">
        <v>352</v>
      </c>
      <c r="J11" s="294" t="s">
        <v>38</v>
      </c>
      <c r="K11" s="294" t="s">
        <v>353</v>
      </c>
      <c r="L11" s="294" t="s">
        <v>36</v>
      </c>
      <c r="M11" s="399">
        <v>1.5</v>
      </c>
      <c r="N11" s="297">
        <v>0.02</v>
      </c>
      <c r="O11" s="294"/>
      <c r="P11" s="294"/>
      <c r="Q11" s="294"/>
      <c r="R11" s="341"/>
      <c r="S11" s="341"/>
      <c r="T11" s="341"/>
      <c r="U11" s="341"/>
      <c r="V11" s="341"/>
      <c r="W11" s="341"/>
      <c r="X11" s="341"/>
      <c r="Y11" s="341"/>
      <c r="Z11" s="341"/>
      <c r="AA11" s="367">
        <f>IFERROR(AVERAGE(O11:Z12)/M11,0)</f>
        <v>0</v>
      </c>
      <c r="AB11" s="336">
        <f>IF(AA11&lt;=100%,AA11*N11,N11)</f>
        <v>0</v>
      </c>
      <c r="AC11" s="297">
        <f>(AB11/36.67)*100</f>
        <v>0</v>
      </c>
      <c r="AD11" s="329"/>
      <c r="AE11" s="398"/>
      <c r="AF11" s="398"/>
      <c r="AG11" s="323"/>
    </row>
    <row r="12" spans="1:33" ht="89.25" x14ac:dyDescent="0.2">
      <c r="A12" s="123" t="s">
        <v>132</v>
      </c>
      <c r="B12" s="124" t="s">
        <v>26</v>
      </c>
      <c r="C12" s="118">
        <f>+F12</f>
        <v>0.02</v>
      </c>
      <c r="D12" s="294" t="s">
        <v>360</v>
      </c>
      <c r="E12" s="294"/>
      <c r="F12" s="118">
        <f>+N11</f>
        <v>0.02</v>
      </c>
      <c r="G12" s="116" t="s">
        <v>69</v>
      </c>
      <c r="H12" s="295"/>
      <c r="I12" s="295"/>
      <c r="J12" s="295"/>
      <c r="K12" s="295"/>
      <c r="L12" s="295"/>
      <c r="M12" s="295"/>
      <c r="N12" s="295"/>
      <c r="O12" s="294"/>
      <c r="P12" s="294"/>
      <c r="Q12" s="294"/>
      <c r="R12" s="341"/>
      <c r="S12" s="341"/>
      <c r="T12" s="341"/>
      <c r="U12" s="341"/>
      <c r="V12" s="341"/>
      <c r="W12" s="341"/>
      <c r="X12" s="341"/>
      <c r="Y12" s="341"/>
      <c r="Z12" s="341"/>
      <c r="AA12" s="368"/>
      <c r="AB12" s="338"/>
      <c r="AC12" s="297"/>
      <c r="AD12" s="330"/>
      <c r="AE12" s="398"/>
      <c r="AF12" s="398"/>
      <c r="AG12" s="323"/>
    </row>
    <row r="13" spans="1:33" ht="13.5" customHeight="1" x14ac:dyDescent="0.2">
      <c r="A13" s="293" t="s">
        <v>166</v>
      </c>
      <c r="B13" s="293"/>
      <c r="C13" s="293"/>
      <c r="D13" s="293"/>
      <c r="E13" s="293"/>
      <c r="F13" s="293"/>
      <c r="G13" s="293"/>
      <c r="H13" s="294" t="s">
        <v>146</v>
      </c>
      <c r="I13" s="294" t="s">
        <v>158</v>
      </c>
      <c r="J13" s="294" t="s">
        <v>41</v>
      </c>
      <c r="K13" s="294" t="s">
        <v>68</v>
      </c>
      <c r="L13" s="294" t="s">
        <v>36</v>
      </c>
      <c r="M13" s="397">
        <v>2200</v>
      </c>
      <c r="N13" s="297">
        <v>0.05</v>
      </c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67">
        <f>SUM(O13:Z14)/M13</f>
        <v>0</v>
      </c>
      <c r="AB13" s="336">
        <f>IF(AA13&lt;=100%,AA13*N13,N13)</f>
        <v>0</v>
      </c>
      <c r="AC13" s="297">
        <f>(SUM(AB13:AB17)/36.67)*100</f>
        <v>0</v>
      </c>
      <c r="AD13" s="385"/>
      <c r="AE13" s="384"/>
      <c r="AF13" s="323"/>
      <c r="AG13" s="323"/>
    </row>
    <row r="14" spans="1:33" ht="54" customHeight="1" x14ac:dyDescent="0.2">
      <c r="A14" s="339" t="s">
        <v>132</v>
      </c>
      <c r="B14" s="340" t="s">
        <v>26</v>
      </c>
      <c r="C14" s="383">
        <f>+F14</f>
        <v>0.09</v>
      </c>
      <c r="D14" s="294" t="s">
        <v>64</v>
      </c>
      <c r="E14" s="294"/>
      <c r="F14" s="383">
        <f>+SUM(N13:N17)</f>
        <v>0.09</v>
      </c>
      <c r="G14" s="294" t="s">
        <v>69</v>
      </c>
      <c r="H14" s="294"/>
      <c r="I14" s="294"/>
      <c r="J14" s="294"/>
      <c r="K14" s="294"/>
      <c r="L14" s="294"/>
      <c r="M14" s="397"/>
      <c r="N14" s="297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67"/>
      <c r="AB14" s="338"/>
      <c r="AC14" s="297"/>
      <c r="AD14" s="385"/>
      <c r="AE14" s="384"/>
      <c r="AF14" s="323"/>
      <c r="AG14" s="323"/>
    </row>
    <row r="15" spans="1:33" ht="81" customHeight="1" x14ac:dyDescent="0.2">
      <c r="A15" s="339"/>
      <c r="B15" s="340"/>
      <c r="C15" s="383"/>
      <c r="D15" s="294"/>
      <c r="E15" s="294"/>
      <c r="F15" s="383"/>
      <c r="G15" s="294"/>
      <c r="H15" s="159" t="s">
        <v>361</v>
      </c>
      <c r="I15" s="154" t="s">
        <v>355</v>
      </c>
      <c r="J15" s="116" t="s">
        <v>38</v>
      </c>
      <c r="K15" s="167" t="s">
        <v>354</v>
      </c>
      <c r="L15" s="116" t="s">
        <v>36</v>
      </c>
      <c r="M15" s="122">
        <v>0.6</v>
      </c>
      <c r="N15" s="118">
        <v>0.02</v>
      </c>
      <c r="O15" s="381"/>
      <c r="P15" s="381"/>
      <c r="Q15" s="381"/>
      <c r="R15" s="340"/>
      <c r="S15" s="340"/>
      <c r="T15" s="340"/>
      <c r="U15" s="382"/>
      <c r="V15" s="382"/>
      <c r="W15" s="382"/>
      <c r="X15" s="382"/>
      <c r="Y15" s="382"/>
      <c r="Z15" s="382"/>
      <c r="AA15" s="201">
        <f>IFERROR(AVERAGE(O15:Z15)/M15,0)</f>
        <v>0</v>
      </c>
      <c r="AB15" s="118">
        <f t="shared" ref="AB15:AB20" si="0">IF(AA15&lt;=100%,AA15*N15,N15)</f>
        <v>0</v>
      </c>
      <c r="AC15" s="297"/>
      <c r="AD15" s="82"/>
      <c r="AE15" s="44"/>
      <c r="AF15" s="198"/>
      <c r="AG15" s="155"/>
    </row>
    <row r="16" spans="1:33" ht="86.25" customHeight="1" x14ac:dyDescent="0.2">
      <c r="A16" s="339"/>
      <c r="B16" s="340"/>
      <c r="C16" s="383"/>
      <c r="D16" s="294"/>
      <c r="E16" s="294"/>
      <c r="F16" s="383"/>
      <c r="G16" s="294"/>
      <c r="H16" s="116" t="s">
        <v>160</v>
      </c>
      <c r="I16" s="116" t="s">
        <v>162</v>
      </c>
      <c r="J16" s="116" t="s">
        <v>38</v>
      </c>
      <c r="K16" s="167" t="s">
        <v>159</v>
      </c>
      <c r="L16" s="116" t="s">
        <v>36</v>
      </c>
      <c r="M16" s="49">
        <v>2</v>
      </c>
      <c r="N16" s="118">
        <v>0.01</v>
      </c>
      <c r="O16" s="340"/>
      <c r="P16" s="340"/>
      <c r="Q16" s="340"/>
      <c r="R16" s="340"/>
      <c r="S16" s="340"/>
      <c r="T16" s="340"/>
      <c r="U16" s="382"/>
      <c r="V16" s="382"/>
      <c r="W16" s="382"/>
      <c r="X16" s="382"/>
      <c r="Y16" s="382"/>
      <c r="Z16" s="382"/>
      <c r="AA16" s="202">
        <f>SUM(O16:Z16)/M16</f>
        <v>0</v>
      </c>
      <c r="AB16" s="118">
        <f t="shared" si="0"/>
        <v>0</v>
      </c>
      <c r="AC16" s="297"/>
      <c r="AD16" s="82"/>
      <c r="AE16" s="44"/>
      <c r="AF16" s="82"/>
      <c r="AG16" s="155"/>
    </row>
    <row r="17" spans="1:33" ht="87.75" customHeight="1" x14ac:dyDescent="0.2">
      <c r="A17" s="339"/>
      <c r="B17" s="340"/>
      <c r="C17" s="383"/>
      <c r="D17" s="294"/>
      <c r="E17" s="294"/>
      <c r="F17" s="383"/>
      <c r="G17" s="294"/>
      <c r="H17" s="116" t="s">
        <v>161</v>
      </c>
      <c r="I17" s="116" t="s">
        <v>163</v>
      </c>
      <c r="J17" s="116" t="s">
        <v>38</v>
      </c>
      <c r="K17" s="167" t="s">
        <v>164</v>
      </c>
      <c r="L17" s="116" t="s">
        <v>36</v>
      </c>
      <c r="M17" s="49">
        <v>1</v>
      </c>
      <c r="N17" s="118">
        <v>0.01</v>
      </c>
      <c r="O17" s="340"/>
      <c r="P17" s="340"/>
      <c r="Q17" s="340"/>
      <c r="R17" s="340"/>
      <c r="S17" s="340"/>
      <c r="T17" s="340"/>
      <c r="U17" s="382"/>
      <c r="V17" s="382"/>
      <c r="W17" s="382"/>
      <c r="X17" s="382"/>
      <c r="Y17" s="382"/>
      <c r="Z17" s="382"/>
      <c r="AA17" s="202">
        <f>SUM(O17:Z17)/M17</f>
        <v>0</v>
      </c>
      <c r="AB17" s="118">
        <f t="shared" si="0"/>
        <v>0</v>
      </c>
      <c r="AC17" s="297"/>
      <c r="AD17" s="37"/>
      <c r="AE17" s="37"/>
      <c r="AF17" s="37"/>
      <c r="AG17" s="80"/>
    </row>
    <row r="18" spans="1:33" ht="135.75" customHeight="1" x14ac:dyDescent="0.2">
      <c r="A18" s="339"/>
      <c r="B18" s="340" t="str">
        <f>+'Objetivos Estratégicos'!B4</f>
        <v xml:space="preserve">Elevar la capacidad de innovación, calidad técnica y audiovisual en la producción, programación y distribución de los contenidos a través de las distintas plataformas. </v>
      </c>
      <c r="C18" s="383">
        <v>0.02</v>
      </c>
      <c r="D18" s="294" t="s">
        <v>173</v>
      </c>
      <c r="E18" s="294"/>
      <c r="F18" s="383">
        <v>0.02</v>
      </c>
      <c r="G18" s="294" t="s">
        <v>69</v>
      </c>
      <c r="H18" s="116" t="s">
        <v>176</v>
      </c>
      <c r="I18" s="116" t="s">
        <v>174</v>
      </c>
      <c r="J18" s="116" t="s">
        <v>38</v>
      </c>
      <c r="K18" s="167" t="s">
        <v>175</v>
      </c>
      <c r="L18" s="116" t="s">
        <v>36</v>
      </c>
      <c r="M18" s="127">
        <v>0.65</v>
      </c>
      <c r="N18" s="118">
        <v>0.01</v>
      </c>
      <c r="O18" s="380"/>
      <c r="P18" s="380"/>
      <c r="Q18" s="380"/>
      <c r="R18" s="380"/>
      <c r="S18" s="380"/>
      <c r="T18" s="380"/>
      <c r="U18" s="380"/>
      <c r="V18" s="380"/>
      <c r="W18" s="380"/>
      <c r="X18" s="380"/>
      <c r="Y18" s="380"/>
      <c r="Z18" s="380"/>
      <c r="AA18" s="263">
        <f>IFERROR(AVERAGE(O18:Z18)/M18,0)</f>
        <v>0</v>
      </c>
      <c r="AB18" s="118">
        <f t="shared" si="0"/>
        <v>0</v>
      </c>
      <c r="AC18" s="297">
        <f>(SUM(AB18:AB19)/36.67)*100</f>
        <v>0</v>
      </c>
      <c r="AD18" s="82"/>
      <c r="AE18" s="82"/>
      <c r="AF18" s="37"/>
      <c r="AG18" s="80"/>
    </row>
    <row r="19" spans="1:33" ht="122.25" customHeight="1" x14ac:dyDescent="0.2">
      <c r="A19" s="339"/>
      <c r="B19" s="340"/>
      <c r="C19" s="383"/>
      <c r="D19" s="294"/>
      <c r="E19" s="294"/>
      <c r="F19" s="383"/>
      <c r="G19" s="294"/>
      <c r="H19" s="116" t="s">
        <v>177</v>
      </c>
      <c r="I19" s="116" t="s">
        <v>178</v>
      </c>
      <c r="J19" s="116" t="s">
        <v>38</v>
      </c>
      <c r="K19" s="167" t="s">
        <v>368</v>
      </c>
      <c r="L19" s="116" t="s">
        <v>36</v>
      </c>
      <c r="M19" s="127">
        <v>0.15</v>
      </c>
      <c r="N19" s="118">
        <v>0.01</v>
      </c>
      <c r="O19" s="380"/>
      <c r="P19" s="380"/>
      <c r="Q19" s="380"/>
      <c r="R19" s="380"/>
      <c r="S19" s="380"/>
      <c r="T19" s="380"/>
      <c r="U19" s="380"/>
      <c r="V19" s="380"/>
      <c r="W19" s="380"/>
      <c r="X19" s="380"/>
      <c r="Y19" s="380"/>
      <c r="Z19" s="380"/>
      <c r="AA19" s="252">
        <f>IFERROR(AVERAGE(O19:Z19)/M19,0)</f>
        <v>0</v>
      </c>
      <c r="AB19" s="118">
        <f t="shared" si="0"/>
        <v>0</v>
      </c>
      <c r="AC19" s="297"/>
      <c r="AD19" s="37"/>
      <c r="AE19" s="37"/>
      <c r="AF19" s="37"/>
      <c r="AG19" s="37"/>
    </row>
    <row r="20" spans="1:33" ht="13.5" customHeight="1" x14ac:dyDescent="0.2">
      <c r="A20" s="293" t="s">
        <v>165</v>
      </c>
      <c r="B20" s="293"/>
      <c r="C20" s="293"/>
      <c r="D20" s="293"/>
      <c r="E20" s="293"/>
      <c r="F20" s="293"/>
      <c r="G20" s="293"/>
      <c r="H20" s="294" t="s">
        <v>167</v>
      </c>
      <c r="I20" s="294" t="s">
        <v>168</v>
      </c>
      <c r="J20" s="294" t="s">
        <v>41</v>
      </c>
      <c r="K20" s="294" t="s">
        <v>68</v>
      </c>
      <c r="L20" s="294" t="s">
        <v>36</v>
      </c>
      <c r="M20" s="397">
        <v>1500</v>
      </c>
      <c r="N20" s="297">
        <v>0.05</v>
      </c>
      <c r="O20" s="386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67">
        <f>SUM(O20:Z21)/M20</f>
        <v>0</v>
      </c>
      <c r="AB20" s="336">
        <f t="shared" si="0"/>
        <v>0</v>
      </c>
      <c r="AC20" s="297">
        <f>((SUM(AB20:AB24))/36.67)*100</f>
        <v>0</v>
      </c>
      <c r="AD20" s="385"/>
      <c r="AE20" s="384"/>
      <c r="AF20" s="323"/>
      <c r="AG20" s="323"/>
    </row>
    <row r="21" spans="1:33" ht="87" customHeight="1" x14ac:dyDescent="0.2">
      <c r="A21" s="339" t="s">
        <v>132</v>
      </c>
      <c r="B21" s="351" t="str">
        <f>+'Objetivos Estratégicos'!B4</f>
        <v xml:space="preserve">Elevar la capacidad de innovación, calidad técnica y audiovisual en la producción, programación y distribución de los contenidos a través de las distintas plataformas. </v>
      </c>
      <c r="C21" s="383">
        <f>+F21</f>
        <v>0.09</v>
      </c>
      <c r="D21" s="294" t="s">
        <v>64</v>
      </c>
      <c r="E21" s="294"/>
      <c r="F21" s="383">
        <f>+SUM(N20:N24)</f>
        <v>0.09</v>
      </c>
      <c r="G21" s="294" t="s">
        <v>69</v>
      </c>
      <c r="H21" s="294"/>
      <c r="I21" s="294"/>
      <c r="J21" s="294"/>
      <c r="K21" s="294"/>
      <c r="L21" s="294"/>
      <c r="M21" s="397"/>
      <c r="N21" s="297"/>
      <c r="O21" s="386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67"/>
      <c r="AB21" s="338"/>
      <c r="AC21" s="297"/>
      <c r="AD21" s="385"/>
      <c r="AE21" s="384"/>
      <c r="AF21" s="323"/>
      <c r="AG21" s="323"/>
    </row>
    <row r="22" spans="1:33" ht="93.75" customHeight="1" x14ac:dyDescent="0.2">
      <c r="A22" s="339"/>
      <c r="B22" s="352"/>
      <c r="C22" s="383"/>
      <c r="D22" s="294"/>
      <c r="E22" s="294"/>
      <c r="F22" s="383"/>
      <c r="G22" s="294"/>
      <c r="H22" s="159" t="s">
        <v>363</v>
      </c>
      <c r="I22" s="154" t="s">
        <v>356</v>
      </c>
      <c r="J22" s="116" t="s">
        <v>38</v>
      </c>
      <c r="K22" s="167" t="s">
        <v>357</v>
      </c>
      <c r="L22" s="116" t="s">
        <v>36</v>
      </c>
      <c r="M22" s="122">
        <v>1.7</v>
      </c>
      <c r="N22" s="118">
        <v>0.02</v>
      </c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  <c r="AA22" s="201">
        <f>IFERROR(AVERAGE(O22:Z22)/M22,0)</f>
        <v>0</v>
      </c>
      <c r="AB22" s="118">
        <f t="shared" ref="AB22:AB31" si="1">IF(AA22&lt;=100%,AA22*N22,N22)</f>
        <v>0</v>
      </c>
      <c r="AC22" s="297"/>
      <c r="AD22" s="82"/>
      <c r="AE22" s="44"/>
      <c r="AF22" s="198"/>
      <c r="AG22" s="155"/>
    </row>
    <row r="23" spans="1:33" ht="86.25" customHeight="1" x14ac:dyDescent="0.2">
      <c r="A23" s="339"/>
      <c r="B23" s="352"/>
      <c r="C23" s="383"/>
      <c r="D23" s="294"/>
      <c r="E23" s="294"/>
      <c r="F23" s="383"/>
      <c r="G23" s="294"/>
      <c r="H23" s="116" t="s">
        <v>169</v>
      </c>
      <c r="I23" s="116" t="s">
        <v>170</v>
      </c>
      <c r="J23" s="116" t="s">
        <v>38</v>
      </c>
      <c r="K23" s="167" t="s">
        <v>159</v>
      </c>
      <c r="L23" s="116" t="s">
        <v>36</v>
      </c>
      <c r="M23" s="49">
        <v>3</v>
      </c>
      <c r="N23" s="118">
        <v>0.01</v>
      </c>
      <c r="O23" s="340"/>
      <c r="P23" s="340"/>
      <c r="Q23" s="340"/>
      <c r="R23" s="340"/>
      <c r="S23" s="340"/>
      <c r="T23" s="340"/>
      <c r="U23" s="382"/>
      <c r="V23" s="382"/>
      <c r="W23" s="382"/>
      <c r="X23" s="382"/>
      <c r="Y23" s="382"/>
      <c r="Z23" s="382"/>
      <c r="AA23" s="202">
        <f>SUM(O23:Z23)/M23</f>
        <v>0</v>
      </c>
      <c r="AB23" s="118">
        <f t="shared" si="1"/>
        <v>0</v>
      </c>
      <c r="AC23" s="297"/>
      <c r="AD23" s="82"/>
      <c r="AE23" s="44"/>
      <c r="AF23" s="82"/>
      <c r="AG23" s="155"/>
    </row>
    <row r="24" spans="1:33" ht="87.75" customHeight="1" x14ac:dyDescent="0.2">
      <c r="A24" s="339"/>
      <c r="B24" s="352"/>
      <c r="C24" s="383"/>
      <c r="D24" s="294"/>
      <c r="E24" s="294"/>
      <c r="F24" s="383"/>
      <c r="G24" s="294"/>
      <c r="H24" s="116" t="s">
        <v>171</v>
      </c>
      <c r="I24" s="116" t="s">
        <v>172</v>
      </c>
      <c r="J24" s="116" t="s">
        <v>38</v>
      </c>
      <c r="K24" s="167" t="s">
        <v>164</v>
      </c>
      <c r="L24" s="116" t="s">
        <v>36</v>
      </c>
      <c r="M24" s="255">
        <v>1</v>
      </c>
      <c r="N24" s="118">
        <v>0.01</v>
      </c>
      <c r="O24" s="340"/>
      <c r="P24" s="340"/>
      <c r="Q24" s="340"/>
      <c r="R24" s="340"/>
      <c r="S24" s="340"/>
      <c r="T24" s="340"/>
      <c r="U24" s="382"/>
      <c r="V24" s="382"/>
      <c r="W24" s="382"/>
      <c r="X24" s="382"/>
      <c r="Y24" s="382"/>
      <c r="Z24" s="382"/>
      <c r="AA24" s="202">
        <f>SUM(O24:Z24)/M24</f>
        <v>0</v>
      </c>
      <c r="AB24" s="118">
        <f t="shared" si="1"/>
        <v>0</v>
      </c>
      <c r="AC24" s="297"/>
      <c r="AD24" s="37"/>
      <c r="AE24" s="37"/>
      <c r="AF24" s="37"/>
      <c r="AG24" s="80"/>
    </row>
    <row r="25" spans="1:33" ht="96" customHeight="1" x14ac:dyDescent="0.2">
      <c r="A25" s="339"/>
      <c r="B25" s="352"/>
      <c r="C25" s="383">
        <f>+F25</f>
        <v>0.02</v>
      </c>
      <c r="D25" s="294" t="s">
        <v>184</v>
      </c>
      <c r="E25" s="294"/>
      <c r="F25" s="383">
        <f>+SUM(N25:N30)</f>
        <v>0.02</v>
      </c>
      <c r="G25" s="294" t="s">
        <v>69</v>
      </c>
      <c r="H25" s="116" t="s">
        <v>179</v>
      </c>
      <c r="I25" s="116" t="s">
        <v>180</v>
      </c>
      <c r="J25" s="116" t="s">
        <v>38</v>
      </c>
      <c r="K25" s="167" t="s">
        <v>181</v>
      </c>
      <c r="L25" s="116" t="s">
        <v>36</v>
      </c>
      <c r="M25" s="127">
        <v>0.35</v>
      </c>
      <c r="N25" s="118">
        <v>5.0000000000000001E-3</v>
      </c>
      <c r="O25" s="396"/>
      <c r="P25" s="396"/>
      <c r="Q25" s="396"/>
      <c r="R25" s="380"/>
      <c r="S25" s="380"/>
      <c r="T25" s="380"/>
      <c r="U25" s="380"/>
      <c r="V25" s="380"/>
      <c r="W25" s="380"/>
      <c r="X25" s="380"/>
      <c r="Y25" s="380"/>
      <c r="Z25" s="380"/>
      <c r="AA25" s="239">
        <f>IFERROR(AVERAGE(O25:Z25)/M25,0)</f>
        <v>0</v>
      </c>
      <c r="AB25" s="118">
        <f t="shared" si="1"/>
        <v>0</v>
      </c>
      <c r="AC25" s="297">
        <f>(SUM(AB25:AB30)/36.67)*100</f>
        <v>0</v>
      </c>
      <c r="AD25" s="37"/>
      <c r="AE25" s="37"/>
      <c r="AF25" s="37"/>
      <c r="AG25" s="80"/>
    </row>
    <row r="26" spans="1:33" ht="111" customHeight="1" x14ac:dyDescent="0.2">
      <c r="A26" s="339"/>
      <c r="B26" s="352"/>
      <c r="C26" s="383"/>
      <c r="D26" s="294"/>
      <c r="E26" s="294"/>
      <c r="F26" s="383"/>
      <c r="G26" s="294"/>
      <c r="H26" s="116" t="s">
        <v>182</v>
      </c>
      <c r="I26" s="116" t="s">
        <v>183</v>
      </c>
      <c r="J26" s="116" t="s">
        <v>38</v>
      </c>
      <c r="K26" s="167" t="s">
        <v>369</v>
      </c>
      <c r="L26" s="116" t="s">
        <v>36</v>
      </c>
      <c r="M26" s="127">
        <v>0.15</v>
      </c>
      <c r="N26" s="118">
        <v>5.0000000000000001E-3</v>
      </c>
      <c r="O26" s="380"/>
      <c r="P26" s="380"/>
      <c r="Q26" s="380"/>
      <c r="R26" s="380"/>
      <c r="S26" s="380"/>
      <c r="T26" s="380"/>
      <c r="U26" s="390"/>
      <c r="V26" s="391"/>
      <c r="W26" s="392"/>
      <c r="X26" s="380"/>
      <c r="Y26" s="380"/>
      <c r="Z26" s="380"/>
      <c r="AA26" s="202">
        <f>IFERROR(AVERAGE(O26:Z26)/M26,0)</f>
        <v>0</v>
      </c>
      <c r="AB26" s="118">
        <f t="shared" si="1"/>
        <v>0</v>
      </c>
      <c r="AC26" s="297"/>
      <c r="AD26" s="37"/>
      <c r="AE26" s="37"/>
      <c r="AF26" s="37"/>
      <c r="AG26" s="80"/>
    </row>
    <row r="27" spans="1:33" ht="111" customHeight="1" x14ac:dyDescent="0.2">
      <c r="A27" s="339"/>
      <c r="B27" s="352"/>
      <c r="C27" s="383"/>
      <c r="D27" s="294"/>
      <c r="E27" s="294"/>
      <c r="F27" s="383"/>
      <c r="G27" s="294"/>
      <c r="H27" s="116" t="s">
        <v>185</v>
      </c>
      <c r="I27" s="116" t="s">
        <v>380</v>
      </c>
      <c r="J27" s="116" t="s">
        <v>38</v>
      </c>
      <c r="K27" s="167" t="s">
        <v>186</v>
      </c>
      <c r="L27" s="116" t="s">
        <v>36</v>
      </c>
      <c r="M27" s="49">
        <v>2</v>
      </c>
      <c r="N27" s="118">
        <v>2.5000000000000001E-3</v>
      </c>
      <c r="O27" s="340"/>
      <c r="P27" s="340"/>
      <c r="Q27" s="340"/>
      <c r="R27" s="340"/>
      <c r="S27" s="340"/>
      <c r="T27" s="340"/>
      <c r="U27" s="393"/>
      <c r="V27" s="394"/>
      <c r="W27" s="395"/>
      <c r="X27" s="340"/>
      <c r="Y27" s="340"/>
      <c r="Z27" s="340"/>
      <c r="AA27" s="202">
        <f>+IF((SUM(O27:Z27)&gt;=1),100%,(SUM(O27:Z27)/M27))</f>
        <v>0</v>
      </c>
      <c r="AB27" s="118">
        <f t="shared" si="1"/>
        <v>0</v>
      </c>
      <c r="AC27" s="297"/>
      <c r="AD27" s="37"/>
      <c r="AE27" s="37"/>
      <c r="AF27" s="37"/>
      <c r="AG27" s="80"/>
    </row>
    <row r="28" spans="1:33" ht="111" customHeight="1" x14ac:dyDescent="0.2">
      <c r="A28" s="339"/>
      <c r="B28" s="352"/>
      <c r="C28" s="383"/>
      <c r="D28" s="294"/>
      <c r="E28" s="294"/>
      <c r="F28" s="383"/>
      <c r="G28" s="294"/>
      <c r="H28" s="116" t="s">
        <v>187</v>
      </c>
      <c r="I28" s="116" t="s">
        <v>381</v>
      </c>
      <c r="J28" s="116" t="s">
        <v>38</v>
      </c>
      <c r="K28" s="167" t="s">
        <v>189</v>
      </c>
      <c r="L28" s="116" t="s">
        <v>36</v>
      </c>
      <c r="M28" s="49">
        <v>2</v>
      </c>
      <c r="N28" s="284">
        <v>2.5000000000000001E-3</v>
      </c>
      <c r="O28" s="340"/>
      <c r="P28" s="340"/>
      <c r="Q28" s="340"/>
      <c r="R28" s="340"/>
      <c r="S28" s="340"/>
      <c r="T28" s="340"/>
      <c r="U28" s="393"/>
      <c r="V28" s="394"/>
      <c r="W28" s="395"/>
      <c r="X28" s="340"/>
      <c r="Y28" s="340"/>
      <c r="Z28" s="340"/>
      <c r="AA28" s="202">
        <f>+IF((SUM(O28:Z28)&gt;=1),100%,(SUM(O28:Z28)/M28))</f>
        <v>0</v>
      </c>
      <c r="AB28" s="118">
        <f t="shared" si="1"/>
        <v>0</v>
      </c>
      <c r="AC28" s="297"/>
      <c r="AD28" s="37"/>
      <c r="AE28" s="37"/>
      <c r="AF28" s="37"/>
      <c r="AG28" s="80"/>
    </row>
    <row r="29" spans="1:33" ht="111" customHeight="1" x14ac:dyDescent="0.2">
      <c r="A29" s="339"/>
      <c r="B29" s="352"/>
      <c r="C29" s="383"/>
      <c r="D29" s="294"/>
      <c r="E29" s="294"/>
      <c r="F29" s="383"/>
      <c r="G29" s="294"/>
      <c r="H29" s="116" t="s">
        <v>188</v>
      </c>
      <c r="I29" s="116" t="s">
        <v>382</v>
      </c>
      <c r="J29" s="116" t="s">
        <v>38</v>
      </c>
      <c r="K29" s="167" t="s">
        <v>189</v>
      </c>
      <c r="L29" s="116" t="s">
        <v>36</v>
      </c>
      <c r="M29" s="49">
        <v>2</v>
      </c>
      <c r="N29" s="284">
        <v>2.5000000000000001E-3</v>
      </c>
      <c r="O29" s="340"/>
      <c r="P29" s="340"/>
      <c r="Q29" s="340"/>
      <c r="R29" s="340"/>
      <c r="S29" s="340"/>
      <c r="T29" s="340"/>
      <c r="U29" s="393"/>
      <c r="V29" s="394"/>
      <c r="W29" s="395"/>
      <c r="X29" s="340"/>
      <c r="Y29" s="340"/>
      <c r="Z29" s="340"/>
      <c r="AA29" s="202">
        <f>+IF((SUM(O29:Z29)&gt;=1),100%,(SUM(O29:Z29)/M29))</f>
        <v>0</v>
      </c>
      <c r="AB29" s="118">
        <f t="shared" si="1"/>
        <v>0</v>
      </c>
      <c r="AC29" s="297"/>
      <c r="AD29" s="37"/>
      <c r="AE29" s="37"/>
      <c r="AF29" s="37"/>
      <c r="AG29" s="80"/>
    </row>
    <row r="30" spans="1:33" ht="111" customHeight="1" x14ac:dyDescent="0.2">
      <c r="A30" s="339"/>
      <c r="B30" s="352"/>
      <c r="C30" s="383"/>
      <c r="D30" s="294"/>
      <c r="E30" s="294"/>
      <c r="F30" s="383"/>
      <c r="G30" s="294"/>
      <c r="H30" s="116" t="s">
        <v>190</v>
      </c>
      <c r="I30" s="116" t="s">
        <v>191</v>
      </c>
      <c r="J30" s="116" t="s">
        <v>38</v>
      </c>
      <c r="K30" s="167" t="s">
        <v>370</v>
      </c>
      <c r="L30" s="116" t="s">
        <v>36</v>
      </c>
      <c r="M30" s="49">
        <v>2</v>
      </c>
      <c r="N30" s="284">
        <v>2.5000000000000001E-3</v>
      </c>
      <c r="O30" s="340"/>
      <c r="P30" s="340"/>
      <c r="Q30" s="340"/>
      <c r="R30" s="340"/>
      <c r="S30" s="340"/>
      <c r="T30" s="340"/>
      <c r="U30" s="387"/>
      <c r="V30" s="388"/>
      <c r="W30" s="389"/>
      <c r="X30" s="340"/>
      <c r="Y30" s="340"/>
      <c r="Z30" s="340"/>
      <c r="AA30" s="202">
        <f>+IF((SUM(O30:Z30)&gt;=1),100%,(SUM(O30:Z30)/M30))</f>
        <v>0</v>
      </c>
      <c r="AB30" s="118">
        <f t="shared" si="1"/>
        <v>0</v>
      </c>
      <c r="AC30" s="297"/>
      <c r="AD30" s="37"/>
      <c r="AE30" s="37"/>
      <c r="AF30" s="37"/>
      <c r="AG30" s="80"/>
    </row>
    <row r="31" spans="1:33" ht="13.5" customHeight="1" x14ac:dyDescent="0.2">
      <c r="A31" s="293" t="s">
        <v>192</v>
      </c>
      <c r="B31" s="293"/>
      <c r="C31" s="293"/>
      <c r="D31" s="293"/>
      <c r="E31" s="293"/>
      <c r="F31" s="293"/>
      <c r="G31" s="293"/>
      <c r="H31" s="294" t="s">
        <v>193</v>
      </c>
      <c r="I31" s="294" t="s">
        <v>194</v>
      </c>
      <c r="J31" s="294" t="s">
        <v>41</v>
      </c>
      <c r="K31" s="294" t="s">
        <v>68</v>
      </c>
      <c r="L31" s="294" t="s">
        <v>36</v>
      </c>
      <c r="M31" s="386">
        <v>1800</v>
      </c>
      <c r="N31" s="297">
        <v>0.04</v>
      </c>
      <c r="O31" s="386"/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341"/>
      <c r="AA31" s="367">
        <f>SUM(O31:Z32)/M31</f>
        <v>0</v>
      </c>
      <c r="AB31" s="336">
        <f t="shared" si="1"/>
        <v>0</v>
      </c>
      <c r="AC31" s="297">
        <f>(SUM(AB31:AB35)/36.67)*100</f>
        <v>0</v>
      </c>
      <c r="AD31" s="385"/>
      <c r="AE31" s="384"/>
      <c r="AF31" s="323"/>
      <c r="AG31" s="323"/>
    </row>
    <row r="32" spans="1:33" ht="75.75" customHeight="1" x14ac:dyDescent="0.2">
      <c r="A32" s="339" t="s">
        <v>132</v>
      </c>
      <c r="B32" s="351" t="str">
        <f>+'Objetivos Estratégicos'!B4</f>
        <v xml:space="preserve">Elevar la capacidad de innovación, calidad técnica y audiovisual en la producción, programación y distribución de los contenidos a través de las distintas plataformas. </v>
      </c>
      <c r="C32" s="383">
        <f>+F32</f>
        <v>7.9999999999999988E-2</v>
      </c>
      <c r="D32" s="294" t="s">
        <v>64</v>
      </c>
      <c r="E32" s="294"/>
      <c r="F32" s="383">
        <f>+SUM(N31:N35)</f>
        <v>7.9999999999999988E-2</v>
      </c>
      <c r="G32" s="294" t="s">
        <v>69</v>
      </c>
      <c r="H32" s="294"/>
      <c r="I32" s="294"/>
      <c r="J32" s="294"/>
      <c r="K32" s="294"/>
      <c r="L32" s="294"/>
      <c r="M32" s="386"/>
      <c r="N32" s="297"/>
      <c r="O32" s="386"/>
      <c r="P32" s="341"/>
      <c r="Q32" s="341"/>
      <c r="R32" s="341"/>
      <c r="S32" s="341"/>
      <c r="T32" s="341"/>
      <c r="U32" s="341"/>
      <c r="V32" s="341"/>
      <c r="W32" s="341"/>
      <c r="X32" s="341"/>
      <c r="Y32" s="341"/>
      <c r="Z32" s="341"/>
      <c r="AA32" s="367"/>
      <c r="AB32" s="338"/>
      <c r="AC32" s="297"/>
      <c r="AD32" s="385"/>
      <c r="AE32" s="384"/>
      <c r="AF32" s="323"/>
      <c r="AG32" s="323"/>
    </row>
    <row r="33" spans="1:33" ht="93.75" customHeight="1" x14ac:dyDescent="0.2">
      <c r="A33" s="339"/>
      <c r="B33" s="352"/>
      <c r="C33" s="383"/>
      <c r="D33" s="294"/>
      <c r="E33" s="294"/>
      <c r="F33" s="383"/>
      <c r="G33" s="294"/>
      <c r="H33" s="159" t="s">
        <v>364</v>
      </c>
      <c r="I33" s="154" t="s">
        <v>358</v>
      </c>
      <c r="J33" s="116" t="s">
        <v>38</v>
      </c>
      <c r="K33" s="167" t="s">
        <v>359</v>
      </c>
      <c r="L33" s="116" t="s">
        <v>36</v>
      </c>
      <c r="M33" s="122">
        <v>1.7</v>
      </c>
      <c r="N33" s="118">
        <v>0.02</v>
      </c>
      <c r="O33" s="340"/>
      <c r="P33" s="340"/>
      <c r="Q33" s="340"/>
      <c r="R33" s="340"/>
      <c r="S33" s="340"/>
      <c r="T33" s="340"/>
      <c r="U33" s="340"/>
      <c r="V33" s="340"/>
      <c r="W33" s="340"/>
      <c r="X33" s="340"/>
      <c r="Y33" s="340"/>
      <c r="Z33" s="340"/>
      <c r="AA33" s="201">
        <f>IFERROR(AVERAGE(O33:Z33)/M33,0)</f>
        <v>0</v>
      </c>
      <c r="AB33" s="118">
        <f t="shared" ref="AB33:AB41" si="2">IF(AA33&lt;=100%,AA33*N33,N33)</f>
        <v>0</v>
      </c>
      <c r="AC33" s="297"/>
      <c r="AD33" s="82"/>
      <c r="AE33" s="44"/>
      <c r="AF33" s="198"/>
      <c r="AG33" s="155"/>
    </row>
    <row r="34" spans="1:33" ht="115.5" customHeight="1" x14ac:dyDescent="0.2">
      <c r="A34" s="339"/>
      <c r="B34" s="352"/>
      <c r="C34" s="383"/>
      <c r="D34" s="294"/>
      <c r="E34" s="294"/>
      <c r="F34" s="383"/>
      <c r="G34" s="294"/>
      <c r="H34" s="116" t="s">
        <v>195</v>
      </c>
      <c r="I34" s="116" t="s">
        <v>196</v>
      </c>
      <c r="J34" s="116" t="s">
        <v>38</v>
      </c>
      <c r="K34" s="167" t="s">
        <v>159</v>
      </c>
      <c r="L34" s="116" t="s">
        <v>36</v>
      </c>
      <c r="M34" s="49">
        <v>2</v>
      </c>
      <c r="N34" s="118">
        <v>0.01</v>
      </c>
      <c r="O34" s="340"/>
      <c r="P34" s="340"/>
      <c r="Q34" s="340"/>
      <c r="R34" s="340"/>
      <c r="S34" s="340"/>
      <c r="T34" s="340"/>
      <c r="U34" s="382"/>
      <c r="V34" s="382"/>
      <c r="W34" s="382"/>
      <c r="X34" s="382"/>
      <c r="Y34" s="382"/>
      <c r="Z34" s="382"/>
      <c r="AA34" s="202">
        <f>+IF((SUM(O34:Z34)&gt;=1),100%,(SUM(O34:Z34)/M34))</f>
        <v>0</v>
      </c>
      <c r="AB34" s="118">
        <f t="shared" si="2"/>
        <v>0</v>
      </c>
      <c r="AC34" s="297"/>
      <c r="AD34" s="82"/>
      <c r="AE34" s="82"/>
      <c r="AF34" s="82"/>
      <c r="AG34" s="82"/>
    </row>
    <row r="35" spans="1:33" ht="87.75" customHeight="1" x14ac:dyDescent="0.2">
      <c r="A35" s="339"/>
      <c r="B35" s="352"/>
      <c r="C35" s="383"/>
      <c r="D35" s="294"/>
      <c r="E35" s="294"/>
      <c r="F35" s="383"/>
      <c r="G35" s="294"/>
      <c r="H35" s="116" t="s">
        <v>197</v>
      </c>
      <c r="I35" s="116" t="s">
        <v>198</v>
      </c>
      <c r="J35" s="116" t="s">
        <v>38</v>
      </c>
      <c r="K35" s="167" t="s">
        <v>164</v>
      </c>
      <c r="L35" s="116" t="s">
        <v>36</v>
      </c>
      <c r="M35" s="49">
        <v>1</v>
      </c>
      <c r="N35" s="118">
        <v>0.01</v>
      </c>
      <c r="O35" s="340"/>
      <c r="P35" s="340"/>
      <c r="Q35" s="340"/>
      <c r="R35" s="340"/>
      <c r="S35" s="340"/>
      <c r="T35" s="340"/>
      <c r="U35" s="382"/>
      <c r="V35" s="382"/>
      <c r="W35" s="382"/>
      <c r="X35" s="382"/>
      <c r="Y35" s="382"/>
      <c r="Z35" s="382"/>
      <c r="AA35" s="202">
        <f>+IF((SUM(O35:Z35)&gt;=1),100%,(SUM(O35:Z35)/M35))</f>
        <v>0</v>
      </c>
      <c r="AB35" s="118">
        <f t="shared" si="2"/>
        <v>0</v>
      </c>
      <c r="AC35" s="297"/>
      <c r="AD35" s="37"/>
      <c r="AE35" s="37"/>
      <c r="AF35" s="37"/>
      <c r="AG35" s="37"/>
    </row>
    <row r="36" spans="1:33" ht="96" customHeight="1" x14ac:dyDescent="0.2">
      <c r="A36" s="339"/>
      <c r="B36" s="352"/>
      <c r="C36" s="383">
        <f>+F36</f>
        <v>0.02</v>
      </c>
      <c r="D36" s="294" t="s">
        <v>184</v>
      </c>
      <c r="E36" s="294"/>
      <c r="F36" s="383">
        <f>+SUM(N36:N41)</f>
        <v>0.02</v>
      </c>
      <c r="G36" s="294" t="s">
        <v>69</v>
      </c>
      <c r="H36" s="116" t="s">
        <v>199</v>
      </c>
      <c r="I36" s="116" t="s">
        <v>200</v>
      </c>
      <c r="J36" s="116" t="s">
        <v>38</v>
      </c>
      <c r="K36" s="167" t="s">
        <v>201</v>
      </c>
      <c r="L36" s="116" t="s">
        <v>36</v>
      </c>
      <c r="M36" s="127">
        <v>0.3</v>
      </c>
      <c r="N36" s="118">
        <v>5.0000000000000001E-3</v>
      </c>
      <c r="O36" s="380"/>
      <c r="P36" s="380"/>
      <c r="Q36" s="380"/>
      <c r="R36" s="380"/>
      <c r="S36" s="380"/>
      <c r="T36" s="380"/>
      <c r="U36" s="380"/>
      <c r="V36" s="380"/>
      <c r="W36" s="380"/>
      <c r="X36" s="380"/>
      <c r="Y36" s="380"/>
      <c r="Z36" s="380"/>
      <c r="AA36" s="238">
        <f>IFERROR(AVERAGE(O36:Z36)/M36,0)</f>
        <v>0</v>
      </c>
      <c r="AB36" s="118">
        <f t="shared" si="2"/>
        <v>0</v>
      </c>
      <c r="AC36" s="297">
        <f>(SUM(AB36:AB41)/36.67)*100</f>
        <v>0</v>
      </c>
      <c r="AD36" s="37"/>
      <c r="AE36" s="37"/>
      <c r="AF36" s="37"/>
      <c r="AG36" s="178"/>
    </row>
    <row r="37" spans="1:33" ht="111" customHeight="1" x14ac:dyDescent="0.2">
      <c r="A37" s="339"/>
      <c r="B37" s="352"/>
      <c r="C37" s="383"/>
      <c r="D37" s="294"/>
      <c r="E37" s="294"/>
      <c r="F37" s="383"/>
      <c r="G37" s="294"/>
      <c r="H37" s="116" t="s">
        <v>202</v>
      </c>
      <c r="I37" s="116" t="s">
        <v>203</v>
      </c>
      <c r="J37" s="116" t="s">
        <v>38</v>
      </c>
      <c r="K37" s="167" t="s">
        <v>371</v>
      </c>
      <c r="L37" s="116" t="s">
        <v>36</v>
      </c>
      <c r="M37" s="127">
        <v>0.15</v>
      </c>
      <c r="N37" s="118">
        <v>5.0000000000000001E-3</v>
      </c>
      <c r="O37" s="380"/>
      <c r="P37" s="380"/>
      <c r="Q37" s="380"/>
      <c r="R37" s="380"/>
      <c r="S37" s="380"/>
      <c r="T37" s="380"/>
      <c r="U37" s="380"/>
      <c r="V37" s="380"/>
      <c r="W37" s="380"/>
      <c r="X37" s="380"/>
      <c r="Y37" s="380"/>
      <c r="Z37" s="380"/>
      <c r="AA37" s="202">
        <f>IFERROR(AVERAGE(O37:Z37)/M37,0)</f>
        <v>0</v>
      </c>
      <c r="AB37" s="118">
        <f t="shared" si="2"/>
        <v>0</v>
      </c>
      <c r="AC37" s="297"/>
      <c r="AD37" s="37"/>
      <c r="AE37" s="37"/>
      <c r="AF37" s="37"/>
      <c r="AG37" s="178"/>
    </row>
    <row r="38" spans="1:33" ht="111" customHeight="1" x14ac:dyDescent="0.2">
      <c r="A38" s="339"/>
      <c r="B38" s="352"/>
      <c r="C38" s="383"/>
      <c r="D38" s="294"/>
      <c r="E38" s="294"/>
      <c r="F38" s="383"/>
      <c r="G38" s="294"/>
      <c r="H38" s="116" t="s">
        <v>204</v>
      </c>
      <c r="I38" s="116" t="s">
        <v>383</v>
      </c>
      <c r="J38" s="116" t="s">
        <v>38</v>
      </c>
      <c r="K38" s="167" t="s">
        <v>205</v>
      </c>
      <c r="L38" s="116" t="s">
        <v>36</v>
      </c>
      <c r="M38" s="49">
        <v>2</v>
      </c>
      <c r="N38" s="118">
        <v>2.5000000000000001E-3</v>
      </c>
      <c r="O38" s="340"/>
      <c r="P38" s="340"/>
      <c r="Q38" s="340"/>
      <c r="R38" s="340"/>
      <c r="S38" s="340"/>
      <c r="T38" s="340"/>
      <c r="U38" s="381"/>
      <c r="V38" s="381"/>
      <c r="W38" s="381"/>
      <c r="X38" s="340"/>
      <c r="Y38" s="340"/>
      <c r="Z38" s="340"/>
      <c r="AA38" s="202">
        <f>+IF((SUM(O38:Z38)&gt;=M38),100%,(SUM(O38:Z38)/M38))</f>
        <v>0</v>
      </c>
      <c r="AB38" s="118">
        <f t="shared" si="2"/>
        <v>0</v>
      </c>
      <c r="AC38" s="297"/>
      <c r="AD38" s="37"/>
      <c r="AE38" s="37"/>
      <c r="AF38" s="37"/>
      <c r="AG38" s="80"/>
    </row>
    <row r="39" spans="1:33" ht="111" customHeight="1" x14ac:dyDescent="0.2">
      <c r="A39" s="339"/>
      <c r="B39" s="352"/>
      <c r="C39" s="383"/>
      <c r="D39" s="294"/>
      <c r="E39" s="294"/>
      <c r="F39" s="383"/>
      <c r="G39" s="294"/>
      <c r="H39" s="116" t="s">
        <v>206</v>
      </c>
      <c r="I39" s="116" t="s">
        <v>384</v>
      </c>
      <c r="J39" s="116" t="s">
        <v>38</v>
      </c>
      <c r="K39" s="167" t="s">
        <v>207</v>
      </c>
      <c r="L39" s="116" t="s">
        <v>36</v>
      </c>
      <c r="M39" s="49">
        <v>3</v>
      </c>
      <c r="N39" s="284">
        <v>2.5000000000000001E-3</v>
      </c>
      <c r="O39" s="340"/>
      <c r="P39" s="340"/>
      <c r="Q39" s="340"/>
      <c r="R39" s="340"/>
      <c r="S39" s="340"/>
      <c r="T39" s="340"/>
      <c r="U39" s="340"/>
      <c r="V39" s="340"/>
      <c r="W39" s="340"/>
      <c r="X39" s="340"/>
      <c r="Y39" s="340"/>
      <c r="Z39" s="340"/>
      <c r="AA39" s="202">
        <f>+IF((SUM(O39:Z39)&gt;=M39),100%,(SUM(O39:Z39)/M39))</f>
        <v>0</v>
      </c>
      <c r="AB39" s="118">
        <f t="shared" si="2"/>
        <v>0</v>
      </c>
      <c r="AC39" s="297"/>
      <c r="AD39" s="37"/>
      <c r="AE39" s="37"/>
      <c r="AF39" s="37"/>
      <c r="AG39" s="80"/>
    </row>
    <row r="40" spans="1:33" ht="111" customHeight="1" x14ac:dyDescent="0.2">
      <c r="A40" s="339"/>
      <c r="B40" s="352"/>
      <c r="C40" s="383"/>
      <c r="D40" s="294"/>
      <c r="E40" s="294"/>
      <c r="F40" s="383"/>
      <c r="G40" s="294"/>
      <c r="H40" s="116" t="s">
        <v>208</v>
      </c>
      <c r="I40" s="116" t="s">
        <v>385</v>
      </c>
      <c r="J40" s="116" t="s">
        <v>38</v>
      </c>
      <c r="K40" s="167" t="s">
        <v>207</v>
      </c>
      <c r="L40" s="116" t="s">
        <v>36</v>
      </c>
      <c r="M40" s="49">
        <v>2</v>
      </c>
      <c r="N40" s="284">
        <v>2.5000000000000001E-3</v>
      </c>
      <c r="O40" s="340"/>
      <c r="P40" s="340"/>
      <c r="Q40" s="340"/>
      <c r="R40" s="340"/>
      <c r="S40" s="340"/>
      <c r="T40" s="340"/>
      <c r="U40" s="340"/>
      <c r="V40" s="340"/>
      <c r="W40" s="340"/>
      <c r="X40" s="340"/>
      <c r="Y40" s="340"/>
      <c r="Z40" s="340"/>
      <c r="AA40" s="202">
        <f>+IF((SUM(O40:Z40)&gt;=M40),100%,(SUM(O40:Z40)/M40))</f>
        <v>0</v>
      </c>
      <c r="AB40" s="118">
        <f t="shared" si="2"/>
        <v>0</v>
      </c>
      <c r="AC40" s="297"/>
      <c r="AD40" s="37"/>
      <c r="AE40" s="37"/>
      <c r="AF40" s="37"/>
      <c r="AG40" s="80"/>
    </row>
    <row r="41" spans="1:33" ht="111" customHeight="1" x14ac:dyDescent="0.2">
      <c r="A41" s="339"/>
      <c r="B41" s="352"/>
      <c r="C41" s="383"/>
      <c r="D41" s="294"/>
      <c r="E41" s="294"/>
      <c r="F41" s="383"/>
      <c r="G41" s="294"/>
      <c r="H41" s="116" t="s">
        <v>190</v>
      </c>
      <c r="I41" s="116" t="s">
        <v>209</v>
      </c>
      <c r="J41" s="116" t="s">
        <v>38</v>
      </c>
      <c r="K41" s="167" t="s">
        <v>372</v>
      </c>
      <c r="L41" s="116" t="s">
        <v>36</v>
      </c>
      <c r="M41" s="49">
        <v>4</v>
      </c>
      <c r="N41" s="284">
        <v>2.5000000000000001E-3</v>
      </c>
      <c r="O41" s="340"/>
      <c r="P41" s="340"/>
      <c r="Q41" s="340"/>
      <c r="R41" s="340"/>
      <c r="S41" s="340"/>
      <c r="T41" s="340"/>
      <c r="U41" s="340"/>
      <c r="V41" s="340"/>
      <c r="W41" s="340"/>
      <c r="X41" s="340"/>
      <c r="Y41" s="340"/>
      <c r="Z41" s="340"/>
      <c r="AA41" s="202">
        <f>+IF((SUM(O41:Z41)&gt;=M41),100%,(SUM(O41:Z41)/M41))</f>
        <v>0</v>
      </c>
      <c r="AB41" s="118">
        <f t="shared" si="2"/>
        <v>0</v>
      </c>
      <c r="AC41" s="297"/>
      <c r="AD41" s="37"/>
      <c r="AE41" s="37"/>
      <c r="AF41" s="37"/>
      <c r="AG41" s="37"/>
    </row>
    <row r="42" spans="1:33" ht="12.75" customHeight="1" x14ac:dyDescent="0.2">
      <c r="A42" s="293" t="s">
        <v>227</v>
      </c>
      <c r="B42" s="293"/>
      <c r="C42" s="293"/>
      <c r="D42" s="293"/>
      <c r="E42" s="293"/>
      <c r="F42" s="293"/>
      <c r="G42" s="293"/>
      <c r="H42" s="294" t="s">
        <v>225</v>
      </c>
      <c r="I42" s="294" t="s">
        <v>226</v>
      </c>
      <c r="J42" s="294" t="s">
        <v>41</v>
      </c>
      <c r="K42" s="294" t="s">
        <v>400</v>
      </c>
      <c r="L42" s="294" t="s">
        <v>36</v>
      </c>
      <c r="M42" s="334">
        <v>2190</v>
      </c>
      <c r="N42" s="297">
        <v>0.02</v>
      </c>
      <c r="O42" s="341"/>
      <c r="P42" s="341"/>
      <c r="Q42" s="341"/>
      <c r="R42" s="341"/>
      <c r="S42" s="341"/>
      <c r="T42" s="341"/>
      <c r="U42" s="379"/>
      <c r="V42" s="379"/>
      <c r="W42" s="379"/>
      <c r="X42" s="341"/>
      <c r="Y42" s="341"/>
      <c r="Z42" s="341"/>
      <c r="AA42" s="367">
        <f>SUM(O42:Z43)/M42</f>
        <v>0</v>
      </c>
      <c r="AB42" s="336">
        <f>IF(AA42&lt;=100%,AA42*N42,N42)</f>
        <v>0</v>
      </c>
      <c r="AC42" s="297">
        <f>(AB42/36.67)*100</f>
        <v>0</v>
      </c>
      <c r="AD42" s="323"/>
      <c r="AE42" s="323"/>
      <c r="AF42" s="323"/>
      <c r="AG42" s="323"/>
    </row>
    <row r="43" spans="1:33" ht="87.75" customHeight="1" x14ac:dyDescent="0.2">
      <c r="A43" s="123" t="s">
        <v>132</v>
      </c>
      <c r="B43" s="124" t="str">
        <f>+'Objetivos Estratégicos'!B4</f>
        <v xml:space="preserve">Elevar la capacidad de innovación, calidad técnica y audiovisual en la producción, programación y distribución de los contenidos a través de las distintas plataformas. </v>
      </c>
      <c r="C43" s="118">
        <f>+F43</f>
        <v>0.02</v>
      </c>
      <c r="D43" s="294" t="s">
        <v>401</v>
      </c>
      <c r="E43" s="294"/>
      <c r="F43" s="118">
        <f>+N42</f>
        <v>0.02</v>
      </c>
      <c r="G43" s="116" t="s">
        <v>69</v>
      </c>
      <c r="H43" s="295"/>
      <c r="I43" s="295"/>
      <c r="J43" s="295"/>
      <c r="K43" s="295"/>
      <c r="L43" s="295"/>
      <c r="M43" s="335"/>
      <c r="N43" s="295"/>
      <c r="O43" s="341"/>
      <c r="P43" s="341"/>
      <c r="Q43" s="341"/>
      <c r="R43" s="341"/>
      <c r="S43" s="341"/>
      <c r="T43" s="341"/>
      <c r="U43" s="379"/>
      <c r="V43" s="379"/>
      <c r="W43" s="379"/>
      <c r="X43" s="341"/>
      <c r="Y43" s="341"/>
      <c r="Z43" s="341"/>
      <c r="AA43" s="368"/>
      <c r="AB43" s="338"/>
      <c r="AC43" s="297"/>
      <c r="AD43" s="323"/>
      <c r="AE43" s="323"/>
      <c r="AF43" s="323"/>
      <c r="AG43" s="323"/>
    </row>
    <row r="44" spans="1:33" ht="15" customHeight="1" x14ac:dyDescent="0.2">
      <c r="A44" s="293" t="s">
        <v>253</v>
      </c>
      <c r="B44" s="293"/>
      <c r="C44" s="293"/>
      <c r="D44" s="293"/>
      <c r="E44" s="293"/>
      <c r="F44" s="293"/>
      <c r="G44" s="293"/>
      <c r="H44" s="375" t="s">
        <v>272</v>
      </c>
      <c r="I44" s="375" t="s">
        <v>276</v>
      </c>
      <c r="J44" s="375" t="s">
        <v>41</v>
      </c>
      <c r="K44" s="375" t="s">
        <v>341</v>
      </c>
      <c r="L44" s="375" t="s">
        <v>36</v>
      </c>
      <c r="M44" s="377">
        <v>1</v>
      </c>
      <c r="N44" s="336">
        <v>1.1111111109999999E-3</v>
      </c>
      <c r="O44" s="354"/>
      <c r="P44" s="355"/>
      <c r="Q44" s="356"/>
      <c r="R44" s="360"/>
      <c r="S44" s="355"/>
      <c r="T44" s="356"/>
      <c r="U44" s="361"/>
      <c r="V44" s="362"/>
      <c r="W44" s="363"/>
      <c r="X44" s="360"/>
      <c r="Y44" s="355"/>
      <c r="Z44" s="356"/>
      <c r="AA44" s="367">
        <f>IF(SUM(O44:Z45)=M44,100%,0%)</f>
        <v>0</v>
      </c>
      <c r="AB44" s="336">
        <f>IF(AA44&lt;=100%,AA44*N44,N44)</f>
        <v>0</v>
      </c>
      <c r="AC44" s="336">
        <f>+((SUM(AB44:AB50))/36.67)*100</f>
        <v>0</v>
      </c>
      <c r="AD44" s="329"/>
      <c r="AE44" s="329"/>
      <c r="AF44" s="329"/>
      <c r="AG44" s="329"/>
    </row>
    <row r="45" spans="1:33" ht="58.5" customHeight="1" x14ac:dyDescent="0.2">
      <c r="A45" s="303" t="s">
        <v>132</v>
      </c>
      <c r="B45" s="351" t="str">
        <f>+'Objetivos Estratégicos'!B5</f>
        <v xml:space="preserve">Realizar alianzas estratégicas con la Alcaldía y sus entes descentralizados para temas de comunicación a través de la Agencia y Central de Medios de Telemedellín. </v>
      </c>
      <c r="C45" s="297">
        <f>SUM(F45:F50)</f>
        <v>6.666666665999999E-3</v>
      </c>
      <c r="D45" s="342" t="s">
        <v>270</v>
      </c>
      <c r="E45" s="343"/>
      <c r="F45" s="336">
        <f>+SUM(N44:N50)</f>
        <v>6.666666665999999E-3</v>
      </c>
      <c r="G45" s="116" t="s">
        <v>69</v>
      </c>
      <c r="H45" s="376"/>
      <c r="I45" s="376"/>
      <c r="J45" s="376"/>
      <c r="K45" s="376"/>
      <c r="L45" s="376"/>
      <c r="M45" s="378"/>
      <c r="N45" s="338"/>
      <c r="O45" s="357"/>
      <c r="P45" s="358"/>
      <c r="Q45" s="359"/>
      <c r="R45" s="357"/>
      <c r="S45" s="358"/>
      <c r="T45" s="359"/>
      <c r="U45" s="364"/>
      <c r="V45" s="365"/>
      <c r="W45" s="366"/>
      <c r="X45" s="357"/>
      <c r="Y45" s="358"/>
      <c r="Z45" s="359"/>
      <c r="AA45" s="368"/>
      <c r="AB45" s="338"/>
      <c r="AC45" s="337"/>
      <c r="AD45" s="330"/>
      <c r="AE45" s="330"/>
      <c r="AF45" s="330"/>
      <c r="AG45" s="330"/>
    </row>
    <row r="46" spans="1:33" ht="76.5" customHeight="1" x14ac:dyDescent="0.2">
      <c r="A46" s="350"/>
      <c r="B46" s="352"/>
      <c r="C46" s="297"/>
      <c r="D46" s="342" t="s">
        <v>271</v>
      </c>
      <c r="E46" s="343"/>
      <c r="F46" s="337"/>
      <c r="G46" s="116" t="s">
        <v>69</v>
      </c>
      <c r="H46" s="125" t="s">
        <v>273</v>
      </c>
      <c r="I46" s="89" t="s">
        <v>277</v>
      </c>
      <c r="J46" s="125" t="s">
        <v>41</v>
      </c>
      <c r="K46" s="168" t="s">
        <v>342</v>
      </c>
      <c r="L46" s="125" t="s">
        <v>36</v>
      </c>
      <c r="M46" s="265">
        <v>1</v>
      </c>
      <c r="N46" s="118">
        <v>1.1111111109999999E-3</v>
      </c>
      <c r="O46" s="369"/>
      <c r="P46" s="370"/>
      <c r="Q46" s="371"/>
      <c r="R46" s="369"/>
      <c r="S46" s="370"/>
      <c r="T46" s="371"/>
      <c r="U46" s="372"/>
      <c r="V46" s="373"/>
      <c r="W46" s="374"/>
      <c r="X46" s="369"/>
      <c r="Y46" s="370"/>
      <c r="Z46" s="371"/>
      <c r="AA46" s="202">
        <f>IF(SUM(O46:Z46)=M46,100%,0%)</f>
        <v>0</v>
      </c>
      <c r="AB46" s="118">
        <f>IF(AA46&lt;=100%,AA46*N46,N46)</f>
        <v>0</v>
      </c>
      <c r="AC46" s="337"/>
      <c r="AD46" s="195"/>
      <c r="AE46" s="195"/>
      <c r="AF46" s="195"/>
      <c r="AG46" s="229"/>
    </row>
    <row r="47" spans="1:33" ht="81.75" customHeight="1" x14ac:dyDescent="0.2">
      <c r="A47" s="350"/>
      <c r="B47" s="352"/>
      <c r="C47" s="297"/>
      <c r="D47" s="342" t="s">
        <v>386</v>
      </c>
      <c r="E47" s="343"/>
      <c r="F47" s="337"/>
      <c r="G47" s="116" t="s">
        <v>69</v>
      </c>
      <c r="H47" s="125" t="s">
        <v>278</v>
      </c>
      <c r="I47" s="89" t="s">
        <v>279</v>
      </c>
      <c r="J47" s="125" t="s">
        <v>41</v>
      </c>
      <c r="K47" s="168" t="s">
        <v>343</v>
      </c>
      <c r="L47" s="125" t="s">
        <v>36</v>
      </c>
      <c r="M47" s="265">
        <v>1</v>
      </c>
      <c r="N47" s="118">
        <v>1.1111111109999999E-3</v>
      </c>
      <c r="O47" s="369"/>
      <c r="P47" s="370"/>
      <c r="Q47" s="371"/>
      <c r="R47" s="369"/>
      <c r="S47" s="370"/>
      <c r="T47" s="371"/>
      <c r="U47" s="372"/>
      <c r="V47" s="373"/>
      <c r="W47" s="374"/>
      <c r="X47" s="369"/>
      <c r="Y47" s="370"/>
      <c r="Z47" s="371"/>
      <c r="AA47" s="202">
        <f>IF(SUM(O47:Z47)=M47,100%,0%)</f>
        <v>0</v>
      </c>
      <c r="AB47" s="118">
        <f>IF(AA47&lt;=100%,AA47*N47,N47)</f>
        <v>0</v>
      </c>
      <c r="AC47" s="337"/>
      <c r="AD47" s="195"/>
      <c r="AE47" s="195"/>
      <c r="AF47" s="195"/>
      <c r="AG47" s="229"/>
    </row>
    <row r="48" spans="1:33" ht="100.5" customHeight="1" x14ac:dyDescent="0.2">
      <c r="A48" s="350"/>
      <c r="B48" s="352"/>
      <c r="C48" s="297"/>
      <c r="D48" s="342" t="s">
        <v>268</v>
      </c>
      <c r="E48" s="343"/>
      <c r="F48" s="337"/>
      <c r="G48" s="116" t="s">
        <v>69</v>
      </c>
      <c r="H48" s="125" t="s">
        <v>274</v>
      </c>
      <c r="I48" s="89" t="s">
        <v>365</v>
      </c>
      <c r="J48" s="125" t="s">
        <v>41</v>
      </c>
      <c r="K48" s="168" t="s">
        <v>338</v>
      </c>
      <c r="L48" s="125" t="s">
        <v>36</v>
      </c>
      <c r="M48" s="127">
        <v>0.8</v>
      </c>
      <c r="N48" s="118">
        <v>1.1111111109999999E-3</v>
      </c>
      <c r="O48" s="344"/>
      <c r="P48" s="345"/>
      <c r="Q48" s="346"/>
      <c r="R48" s="344"/>
      <c r="S48" s="345"/>
      <c r="T48" s="346"/>
      <c r="U48" s="347"/>
      <c r="V48" s="348"/>
      <c r="W48" s="349"/>
      <c r="X48" s="344"/>
      <c r="Y48" s="345"/>
      <c r="Z48" s="346"/>
      <c r="AA48" s="247">
        <f>X48/M48</f>
        <v>0</v>
      </c>
      <c r="AB48" s="118">
        <f>IF(AA48&lt;=100%,AA48*N48,N48)</f>
        <v>0</v>
      </c>
      <c r="AC48" s="337"/>
      <c r="AD48" s="195"/>
      <c r="AE48" s="195"/>
      <c r="AF48" s="195"/>
      <c r="AG48" s="80"/>
    </row>
    <row r="49" spans="1:33" ht="102" customHeight="1" x14ac:dyDescent="0.2">
      <c r="A49" s="350"/>
      <c r="B49" s="352"/>
      <c r="C49" s="297"/>
      <c r="D49" s="342" t="s">
        <v>269</v>
      </c>
      <c r="E49" s="343"/>
      <c r="F49" s="337"/>
      <c r="G49" s="116" t="s">
        <v>69</v>
      </c>
      <c r="H49" s="125" t="s">
        <v>275</v>
      </c>
      <c r="I49" s="89" t="s">
        <v>366</v>
      </c>
      <c r="J49" s="125" t="s">
        <v>41</v>
      </c>
      <c r="K49" s="168" t="s">
        <v>340</v>
      </c>
      <c r="L49" s="125" t="s">
        <v>36</v>
      </c>
      <c r="M49" s="127">
        <v>0.8</v>
      </c>
      <c r="N49" s="118">
        <v>1.1111111109999999E-3</v>
      </c>
      <c r="O49" s="344"/>
      <c r="P49" s="345"/>
      <c r="Q49" s="346"/>
      <c r="R49" s="344"/>
      <c r="S49" s="345"/>
      <c r="T49" s="346"/>
      <c r="U49" s="347"/>
      <c r="V49" s="348"/>
      <c r="W49" s="349"/>
      <c r="X49" s="344"/>
      <c r="Y49" s="345"/>
      <c r="Z49" s="346"/>
      <c r="AA49" s="263">
        <f>X49/M49</f>
        <v>0</v>
      </c>
      <c r="AB49" s="118">
        <f>IF(AA49&lt;=100%,AA49*N49,N49)</f>
        <v>0</v>
      </c>
      <c r="AC49" s="337"/>
      <c r="AD49" s="195"/>
      <c r="AE49" s="195"/>
      <c r="AF49" s="195"/>
      <c r="AG49" s="80"/>
    </row>
    <row r="50" spans="1:33" ht="102" customHeight="1" x14ac:dyDescent="0.2">
      <c r="A50" s="304"/>
      <c r="B50" s="353"/>
      <c r="C50" s="297"/>
      <c r="D50" s="342" t="s">
        <v>280</v>
      </c>
      <c r="E50" s="343"/>
      <c r="F50" s="338"/>
      <c r="G50" s="116" t="s">
        <v>69</v>
      </c>
      <c r="H50" s="125" t="s">
        <v>281</v>
      </c>
      <c r="I50" s="89" t="s">
        <v>367</v>
      </c>
      <c r="J50" s="125" t="s">
        <v>41</v>
      </c>
      <c r="K50" s="168" t="s">
        <v>339</v>
      </c>
      <c r="L50" s="125" t="s">
        <v>36</v>
      </c>
      <c r="M50" s="127">
        <v>0.8</v>
      </c>
      <c r="N50" s="118">
        <v>1.1111111109999999E-3</v>
      </c>
      <c r="O50" s="344"/>
      <c r="P50" s="345"/>
      <c r="Q50" s="346"/>
      <c r="R50" s="344"/>
      <c r="S50" s="345"/>
      <c r="T50" s="346"/>
      <c r="U50" s="347"/>
      <c r="V50" s="348"/>
      <c r="W50" s="349"/>
      <c r="X50" s="344"/>
      <c r="Y50" s="345"/>
      <c r="Z50" s="346"/>
      <c r="AA50" s="263">
        <f>X50/M50</f>
        <v>0</v>
      </c>
      <c r="AB50" s="118">
        <f>IF(AA50&lt;=100%,AA50*N50,N50)</f>
        <v>0</v>
      </c>
      <c r="AC50" s="338"/>
      <c r="AD50" s="195"/>
      <c r="AE50" s="195"/>
      <c r="AF50" s="195"/>
      <c r="AG50" s="80"/>
    </row>
    <row r="51" spans="1:33" ht="13.5" customHeight="1" x14ac:dyDescent="0.2">
      <c r="A51" s="331" t="s">
        <v>18</v>
      </c>
      <c r="B51" s="331"/>
      <c r="C51" s="331"/>
      <c r="D51" s="331"/>
      <c r="E51" s="331"/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331"/>
      <c r="AC51" s="62">
        <f>SUM(AC11:AC50)</f>
        <v>0</v>
      </c>
      <c r="AD51" s="290"/>
      <c r="AE51" s="290"/>
      <c r="AF51" s="290"/>
      <c r="AG51" s="290"/>
    </row>
    <row r="53" spans="1:33" ht="36" x14ac:dyDescent="0.2">
      <c r="AG53" s="129" t="s">
        <v>344</v>
      </c>
    </row>
    <row r="54" spans="1:33" x14ac:dyDescent="0.2">
      <c r="C54" s="108">
        <f>+C45+C43+C36+C32+C25+C21+C18+C14+C12</f>
        <v>0.36666666666600001</v>
      </c>
      <c r="N54" s="108"/>
    </row>
  </sheetData>
  <autoFilter ref="A10:AG51">
    <filterColumn colId="3" showButton="0"/>
  </autoFilter>
  <mergeCells count="334">
    <mergeCell ref="N9:N10"/>
    <mergeCell ref="O9:O10"/>
    <mergeCell ref="A1:D3"/>
    <mergeCell ref="E1:AG3"/>
    <mergeCell ref="A4:AG4"/>
    <mergeCell ref="A5:AG5"/>
    <mergeCell ref="A6:AG6"/>
    <mergeCell ref="A7:AG7"/>
    <mergeCell ref="P9:P10"/>
    <mergeCell ref="Q9:Q10"/>
    <mergeCell ref="R9:R10"/>
    <mergeCell ref="S9:S10"/>
    <mergeCell ref="A8:N8"/>
    <mergeCell ref="O8:Z8"/>
    <mergeCell ref="AD8:AG8"/>
    <mergeCell ref="A9:A10"/>
    <mergeCell ref="B9:B10"/>
    <mergeCell ref="C9:C10"/>
    <mergeCell ref="D9:E10"/>
    <mergeCell ref="F9:F10"/>
    <mergeCell ref="G9:G10"/>
    <mergeCell ref="H9:M9"/>
    <mergeCell ref="AF9:AF10"/>
    <mergeCell ref="AG9:AG10"/>
    <mergeCell ref="AC9:AC10"/>
    <mergeCell ref="AD9:AD10"/>
    <mergeCell ref="AE9:AE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AF11:AF12"/>
    <mergeCell ref="AG11:AG12"/>
    <mergeCell ref="D12:E12"/>
    <mergeCell ref="O11:Q12"/>
    <mergeCell ref="R11:T12"/>
    <mergeCell ref="U11:W12"/>
    <mergeCell ref="X11:Z12"/>
    <mergeCell ref="AA11:AA12"/>
    <mergeCell ref="AB11:AB12"/>
    <mergeCell ref="A11:G11"/>
    <mergeCell ref="H11:H12"/>
    <mergeCell ref="I11:I12"/>
    <mergeCell ref="J11:J12"/>
    <mergeCell ref="K11:K12"/>
    <mergeCell ref="L11:L12"/>
    <mergeCell ref="M11:M12"/>
    <mergeCell ref="N11:N12"/>
    <mergeCell ref="A13:G13"/>
    <mergeCell ref="H13:H14"/>
    <mergeCell ref="I13:I14"/>
    <mergeCell ref="J13:J14"/>
    <mergeCell ref="K13:K14"/>
    <mergeCell ref="L13:L14"/>
    <mergeCell ref="AC11:AC12"/>
    <mergeCell ref="AD11:AD12"/>
    <mergeCell ref="AE11:AE12"/>
    <mergeCell ref="AG13:AG14"/>
    <mergeCell ref="A14:A19"/>
    <mergeCell ref="B14:B17"/>
    <mergeCell ref="C14:C17"/>
    <mergeCell ref="D14:E17"/>
    <mergeCell ref="F14:F17"/>
    <mergeCell ref="G14:G17"/>
    <mergeCell ref="O15:Q15"/>
    <mergeCell ref="Y13:Y14"/>
    <mergeCell ref="Z13:Z14"/>
    <mergeCell ref="AA13:AA14"/>
    <mergeCell ref="AB13:AB14"/>
    <mergeCell ref="AC13:AC17"/>
    <mergeCell ref="AD13:AD14"/>
    <mergeCell ref="S13:S14"/>
    <mergeCell ref="T13:T14"/>
    <mergeCell ref="U13:U14"/>
    <mergeCell ref="V13:V14"/>
    <mergeCell ref="W13:W14"/>
    <mergeCell ref="X13:X14"/>
    <mergeCell ref="M13:M14"/>
    <mergeCell ref="N13:N14"/>
    <mergeCell ref="O13:O14"/>
    <mergeCell ref="P13:P14"/>
    <mergeCell ref="R15:T15"/>
    <mergeCell ref="U15:W15"/>
    <mergeCell ref="X15:Z15"/>
    <mergeCell ref="O16:Q16"/>
    <mergeCell ref="R16:T16"/>
    <mergeCell ref="U16:W16"/>
    <mergeCell ref="X16:Z16"/>
    <mergeCell ref="AE13:AE14"/>
    <mergeCell ref="AF13:AF14"/>
    <mergeCell ref="Q13:Q14"/>
    <mergeCell ref="R13:R14"/>
    <mergeCell ref="AC18:AC19"/>
    <mergeCell ref="O19:Q19"/>
    <mergeCell ref="R19:T19"/>
    <mergeCell ref="U19:W19"/>
    <mergeCell ref="X19:Z19"/>
    <mergeCell ref="O17:Q17"/>
    <mergeCell ref="R17:T17"/>
    <mergeCell ref="U17:W17"/>
    <mergeCell ref="X17:Z17"/>
    <mergeCell ref="O18:Q18"/>
    <mergeCell ref="A20:G20"/>
    <mergeCell ref="H20:H21"/>
    <mergeCell ref="I20:I21"/>
    <mergeCell ref="J20:J21"/>
    <mergeCell ref="K20:K21"/>
    <mergeCell ref="L20:L21"/>
    <mergeCell ref="R18:T18"/>
    <mergeCell ref="U18:W18"/>
    <mergeCell ref="X18:Z18"/>
    <mergeCell ref="B18:B19"/>
    <mergeCell ref="C18:C19"/>
    <mergeCell ref="D18:E19"/>
    <mergeCell ref="F18:F19"/>
    <mergeCell ref="G18:G19"/>
    <mergeCell ref="AG20:AG21"/>
    <mergeCell ref="A21:A30"/>
    <mergeCell ref="B21:B30"/>
    <mergeCell ref="C21:C24"/>
    <mergeCell ref="D21:E24"/>
    <mergeCell ref="F21:F24"/>
    <mergeCell ref="G21:G24"/>
    <mergeCell ref="O22:Q22"/>
    <mergeCell ref="Y20:Y21"/>
    <mergeCell ref="Z20:Z21"/>
    <mergeCell ref="AA20:AA21"/>
    <mergeCell ref="AB20:AB21"/>
    <mergeCell ref="AC20:AC24"/>
    <mergeCell ref="AD20:AD21"/>
    <mergeCell ref="S20:S21"/>
    <mergeCell ref="T20:T21"/>
    <mergeCell ref="U20:U21"/>
    <mergeCell ref="V20:V21"/>
    <mergeCell ref="W20:W21"/>
    <mergeCell ref="X20:X21"/>
    <mergeCell ref="M20:M21"/>
    <mergeCell ref="N20:N21"/>
    <mergeCell ref="O20:O21"/>
    <mergeCell ref="P20:P21"/>
    <mergeCell ref="R22:T22"/>
    <mergeCell ref="U22:W22"/>
    <mergeCell ref="X22:Z22"/>
    <mergeCell ref="O23:Q23"/>
    <mergeCell ref="R23:T23"/>
    <mergeCell ref="U23:W23"/>
    <mergeCell ref="X23:Z23"/>
    <mergeCell ref="AE20:AE21"/>
    <mergeCell ref="AF20:AF21"/>
    <mergeCell ref="Q20:Q21"/>
    <mergeCell ref="R20:R21"/>
    <mergeCell ref="O24:Q24"/>
    <mergeCell ref="R24:T24"/>
    <mergeCell ref="U24:W24"/>
    <mergeCell ref="X24:Z24"/>
    <mergeCell ref="C25:C30"/>
    <mergeCell ref="D25:E30"/>
    <mergeCell ref="F25:F30"/>
    <mergeCell ref="G25:G30"/>
    <mergeCell ref="O25:Q25"/>
    <mergeCell ref="R25:T25"/>
    <mergeCell ref="U25:W25"/>
    <mergeCell ref="X25:Z25"/>
    <mergeCell ref="AC25:AC30"/>
    <mergeCell ref="O26:Q26"/>
    <mergeCell ref="R26:T26"/>
    <mergeCell ref="U26:W26"/>
    <mergeCell ref="X26:Z26"/>
    <mergeCell ref="O27:Q27"/>
    <mergeCell ref="R27:T27"/>
    <mergeCell ref="U27:W27"/>
    <mergeCell ref="X30:Z30"/>
    <mergeCell ref="X27:Z27"/>
    <mergeCell ref="O28:Q28"/>
    <mergeCell ref="R28:T28"/>
    <mergeCell ref="U28:W28"/>
    <mergeCell ref="X28:Z28"/>
    <mergeCell ref="O29:Q29"/>
    <mergeCell ref="R29:T29"/>
    <mergeCell ref="U29:W29"/>
    <mergeCell ref="X29:Z29"/>
    <mergeCell ref="A31:G31"/>
    <mergeCell ref="H31:H32"/>
    <mergeCell ref="I31:I32"/>
    <mergeCell ref="J31:J32"/>
    <mergeCell ref="K31:K32"/>
    <mergeCell ref="L31:L32"/>
    <mergeCell ref="O30:Q30"/>
    <mergeCell ref="R30:T30"/>
    <mergeCell ref="U30:W30"/>
    <mergeCell ref="AG31:AG32"/>
    <mergeCell ref="A32:A41"/>
    <mergeCell ref="B32:B41"/>
    <mergeCell ref="C32:C35"/>
    <mergeCell ref="D32:E35"/>
    <mergeCell ref="F32:F35"/>
    <mergeCell ref="G32:G35"/>
    <mergeCell ref="O33:Q33"/>
    <mergeCell ref="Y31:Y32"/>
    <mergeCell ref="Z31:Z32"/>
    <mergeCell ref="AA31:AA32"/>
    <mergeCell ref="AB31:AB32"/>
    <mergeCell ref="AC31:AC35"/>
    <mergeCell ref="AD31:AD32"/>
    <mergeCell ref="S31:S32"/>
    <mergeCell ref="T31:T32"/>
    <mergeCell ref="U31:U32"/>
    <mergeCell ref="V31:V32"/>
    <mergeCell ref="W31:W32"/>
    <mergeCell ref="X31:X32"/>
    <mergeCell ref="M31:M32"/>
    <mergeCell ref="N31:N32"/>
    <mergeCell ref="O31:O32"/>
    <mergeCell ref="P31:P32"/>
    <mergeCell ref="R33:T33"/>
    <mergeCell ref="U33:W33"/>
    <mergeCell ref="X33:Z33"/>
    <mergeCell ref="O34:Q34"/>
    <mergeCell ref="R34:T34"/>
    <mergeCell ref="U34:W34"/>
    <mergeCell ref="X34:Z34"/>
    <mergeCell ref="AE31:AE32"/>
    <mergeCell ref="AF31:AF32"/>
    <mergeCell ref="Q31:Q32"/>
    <mergeCell ref="R31:R32"/>
    <mergeCell ref="X40:Z40"/>
    <mergeCell ref="O35:Q35"/>
    <mergeCell ref="R35:T35"/>
    <mergeCell ref="U35:W35"/>
    <mergeCell ref="X35:Z35"/>
    <mergeCell ref="C36:C41"/>
    <mergeCell ref="D36:E41"/>
    <mergeCell ref="F36:F41"/>
    <mergeCell ref="G36:G41"/>
    <mergeCell ref="O36:Q36"/>
    <mergeCell ref="R36:T36"/>
    <mergeCell ref="U36:W36"/>
    <mergeCell ref="X36:Z36"/>
    <mergeCell ref="I42:I43"/>
    <mergeCell ref="J42:J43"/>
    <mergeCell ref="K42:K43"/>
    <mergeCell ref="L42:L43"/>
    <mergeCell ref="O41:Q41"/>
    <mergeCell ref="R41:T41"/>
    <mergeCell ref="U41:W41"/>
    <mergeCell ref="X41:Z41"/>
    <mergeCell ref="AC36:AC41"/>
    <mergeCell ref="O37:Q37"/>
    <mergeCell ref="R37:T37"/>
    <mergeCell ref="U37:W37"/>
    <mergeCell ref="X37:Z37"/>
    <mergeCell ref="O38:Q38"/>
    <mergeCell ref="R38:T38"/>
    <mergeCell ref="U38:W38"/>
    <mergeCell ref="X38:Z38"/>
    <mergeCell ref="O39:Q39"/>
    <mergeCell ref="R39:T39"/>
    <mergeCell ref="U39:W39"/>
    <mergeCell ref="X39:Z39"/>
    <mergeCell ref="O40:Q40"/>
    <mergeCell ref="R40:T40"/>
    <mergeCell ref="U40:W40"/>
    <mergeCell ref="AG42:AG43"/>
    <mergeCell ref="D43:E43"/>
    <mergeCell ref="A44:G44"/>
    <mergeCell ref="H44:H45"/>
    <mergeCell ref="I44:I45"/>
    <mergeCell ref="J44:J45"/>
    <mergeCell ref="K44:K45"/>
    <mergeCell ref="L44:L45"/>
    <mergeCell ref="M44:M45"/>
    <mergeCell ref="N44:N45"/>
    <mergeCell ref="AA42:AA43"/>
    <mergeCell ref="AB42:AB43"/>
    <mergeCell ref="AC42:AC43"/>
    <mergeCell ref="AD42:AD43"/>
    <mergeCell ref="AE42:AE43"/>
    <mergeCell ref="AF42:AF43"/>
    <mergeCell ref="M42:M43"/>
    <mergeCell ref="N42:N43"/>
    <mergeCell ref="O42:Q43"/>
    <mergeCell ref="R42:T43"/>
    <mergeCell ref="U42:W43"/>
    <mergeCell ref="X42:Z43"/>
    <mergeCell ref="A42:G42"/>
    <mergeCell ref="H42:H43"/>
    <mergeCell ref="C45:C50"/>
    <mergeCell ref="D45:E45"/>
    <mergeCell ref="F45:F50"/>
    <mergeCell ref="O44:Q45"/>
    <mergeCell ref="R44:T45"/>
    <mergeCell ref="U44:W45"/>
    <mergeCell ref="X44:Z45"/>
    <mergeCell ref="AA44:AA45"/>
    <mergeCell ref="AB44:AB45"/>
    <mergeCell ref="D46:E46"/>
    <mergeCell ref="O46:Q46"/>
    <mergeCell ref="R46:T46"/>
    <mergeCell ref="U46:W46"/>
    <mergeCell ref="X46:Z46"/>
    <mergeCell ref="D47:E47"/>
    <mergeCell ref="O47:Q47"/>
    <mergeCell ref="R47:T47"/>
    <mergeCell ref="U47:W47"/>
    <mergeCell ref="X47:Z47"/>
    <mergeCell ref="AD51:AG51"/>
    <mergeCell ref="D50:E50"/>
    <mergeCell ref="O50:Q50"/>
    <mergeCell ref="R50:T50"/>
    <mergeCell ref="U50:W50"/>
    <mergeCell ref="X50:Z50"/>
    <mergeCell ref="A51:AB51"/>
    <mergeCell ref="D48:E48"/>
    <mergeCell ref="O48:Q48"/>
    <mergeCell ref="R48:T48"/>
    <mergeCell ref="U48:W48"/>
    <mergeCell ref="X48:Z48"/>
    <mergeCell ref="D49:E49"/>
    <mergeCell ref="O49:Q49"/>
    <mergeCell ref="R49:T49"/>
    <mergeCell ref="U49:W49"/>
    <mergeCell ref="X49:Z49"/>
    <mergeCell ref="AC44:AC50"/>
    <mergeCell ref="AD44:AD45"/>
    <mergeCell ref="AE44:AE45"/>
    <mergeCell ref="AF44:AF45"/>
    <mergeCell ref="AG44:AG45"/>
    <mergeCell ref="A45:A50"/>
    <mergeCell ref="B45:B50"/>
  </mergeCells>
  <pageMargins left="0.7" right="0.7" top="0.75" bottom="0.75" header="0.3" footer="0.3"/>
  <pageSetup orientation="portrait" r:id="rId1"/>
  <ignoredErrors>
    <ignoredError sqref="F14 F25 F36 F32 F2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8"/>
  <sheetViews>
    <sheetView showGridLines="0" topLeftCell="A6" zoomScale="70" zoomScaleNormal="70" zoomScalePageLayoutView="86" workbookViewId="0">
      <selection activeCell="AD11" sqref="AD11:AD15"/>
    </sheetView>
  </sheetViews>
  <sheetFormatPr baseColWidth="10" defaultColWidth="10.85546875" defaultRowHeight="12.75" x14ac:dyDescent="0.2"/>
  <cols>
    <col min="1" max="1" width="19.7109375" style="12" customWidth="1"/>
    <col min="2" max="2" width="19.42578125" style="12" customWidth="1"/>
    <col min="3" max="3" width="10.85546875" style="12" customWidth="1"/>
    <col min="4" max="4" width="10.85546875" style="12"/>
    <col min="5" max="5" width="14.42578125" style="12" customWidth="1"/>
    <col min="6" max="6" width="12.5703125" style="12" customWidth="1"/>
    <col min="7" max="7" width="14.7109375" style="12" customWidth="1"/>
    <col min="8" max="8" width="15.42578125" style="12" customWidth="1"/>
    <col min="9" max="9" width="25" style="12" customWidth="1"/>
    <col min="10" max="10" width="10.140625" style="12" customWidth="1"/>
    <col min="11" max="11" width="25.42578125" style="12" customWidth="1"/>
    <col min="12" max="12" width="12.42578125" style="12" customWidth="1"/>
    <col min="13" max="13" width="14.85546875" style="12" customWidth="1"/>
    <col min="14" max="14" width="12.5703125" style="12" customWidth="1"/>
    <col min="15" max="15" width="12.140625" style="12" customWidth="1"/>
    <col min="16" max="16" width="14" style="12" customWidth="1"/>
    <col min="17" max="17" width="13.140625" style="12" customWidth="1"/>
    <col min="18" max="18" width="11.42578125" style="12" customWidth="1"/>
    <col min="19" max="19" width="12.5703125" style="12" customWidth="1"/>
    <col min="20" max="20" width="11.140625" style="12" customWidth="1"/>
    <col min="21" max="21" width="11.85546875" style="12" customWidth="1"/>
    <col min="22" max="22" width="12.28515625" style="12" customWidth="1"/>
    <col min="23" max="25" width="13.42578125" style="12" customWidth="1"/>
    <col min="26" max="26" width="13.28515625" style="12" customWidth="1"/>
    <col min="27" max="27" width="13.5703125" style="12" customWidth="1"/>
    <col min="28" max="28" width="15.28515625" style="12" customWidth="1"/>
    <col min="29" max="29" width="13.85546875" style="12" customWidth="1"/>
    <col min="30" max="30" width="58" style="12" customWidth="1"/>
    <col min="31" max="31" width="38.7109375" style="12" customWidth="1"/>
    <col min="32" max="32" width="37.7109375" style="12" customWidth="1"/>
    <col min="33" max="33" width="35.42578125" style="12" customWidth="1"/>
    <col min="34" max="16384" width="10.85546875" style="12"/>
  </cols>
  <sheetData>
    <row r="1" spans="1:33" ht="13.5" customHeight="1" x14ac:dyDescent="0.2">
      <c r="A1" s="312"/>
      <c r="B1" s="312"/>
      <c r="C1" s="312"/>
      <c r="D1" s="312"/>
      <c r="E1" s="313" t="s">
        <v>0</v>
      </c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5"/>
    </row>
    <row r="2" spans="1:33" ht="13.5" customHeight="1" x14ac:dyDescent="0.2">
      <c r="A2" s="312"/>
      <c r="B2" s="312"/>
      <c r="C2" s="312"/>
      <c r="D2" s="312"/>
      <c r="E2" s="316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8"/>
    </row>
    <row r="3" spans="1:33" ht="13.5" customHeight="1" x14ac:dyDescent="0.2">
      <c r="A3" s="312"/>
      <c r="B3" s="312"/>
      <c r="C3" s="312"/>
      <c r="D3" s="312"/>
      <c r="E3" s="319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1"/>
    </row>
    <row r="4" spans="1:33" ht="15.75" customHeight="1" x14ac:dyDescent="0.2">
      <c r="A4" s="324" t="s">
        <v>66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</row>
    <row r="5" spans="1:33" ht="15" customHeight="1" x14ac:dyDescent="0.2">
      <c r="A5" s="324" t="s">
        <v>114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>
        <f>SUM(AB11:AB14)</f>
        <v>0</v>
      </c>
      <c r="AE5" s="324"/>
      <c r="AF5" s="324"/>
      <c r="AG5" s="324"/>
    </row>
    <row r="6" spans="1:33" x14ac:dyDescent="0.2">
      <c r="A6" s="324" t="s">
        <v>440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>
        <f>SUM(AB15:AB15)</f>
        <v>0</v>
      </c>
      <c r="AE6" s="324"/>
      <c r="AF6" s="324"/>
      <c r="AG6" s="324"/>
    </row>
    <row r="7" spans="1:33" ht="15.75" customHeight="1" x14ac:dyDescent="0.2">
      <c r="A7" s="312"/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</row>
    <row r="8" spans="1:33" x14ac:dyDescent="0.2">
      <c r="A8" s="322" t="s">
        <v>2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05" t="s">
        <v>3</v>
      </c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48"/>
      <c r="AB8" s="48"/>
      <c r="AC8" s="48"/>
      <c r="AD8" s="308" t="s">
        <v>4</v>
      </c>
      <c r="AE8" s="308"/>
      <c r="AF8" s="308"/>
      <c r="AG8" s="308"/>
    </row>
    <row r="9" spans="1:33" ht="12.75" customHeight="1" x14ac:dyDescent="0.2">
      <c r="A9" s="305" t="s">
        <v>141</v>
      </c>
      <c r="B9" s="305" t="s">
        <v>397</v>
      </c>
      <c r="C9" s="307" t="s">
        <v>6</v>
      </c>
      <c r="D9" s="305" t="s">
        <v>7</v>
      </c>
      <c r="E9" s="305"/>
      <c r="F9" s="307" t="s">
        <v>6</v>
      </c>
      <c r="G9" s="305" t="s">
        <v>8</v>
      </c>
      <c r="H9" s="400" t="s">
        <v>47</v>
      </c>
      <c r="I9" s="400"/>
      <c r="J9" s="400"/>
      <c r="K9" s="400"/>
      <c r="L9" s="400"/>
      <c r="M9" s="400"/>
      <c r="N9" s="307" t="s">
        <v>6</v>
      </c>
      <c r="O9" s="291" t="s">
        <v>407</v>
      </c>
      <c r="P9" s="291" t="s">
        <v>408</v>
      </c>
      <c r="Q9" s="291" t="s">
        <v>409</v>
      </c>
      <c r="R9" s="291" t="s">
        <v>410</v>
      </c>
      <c r="S9" s="291" t="s">
        <v>411</v>
      </c>
      <c r="T9" s="291" t="s">
        <v>412</v>
      </c>
      <c r="U9" s="291" t="s">
        <v>413</v>
      </c>
      <c r="V9" s="291" t="s">
        <v>414</v>
      </c>
      <c r="W9" s="291" t="s">
        <v>415</v>
      </c>
      <c r="X9" s="291" t="s">
        <v>416</v>
      </c>
      <c r="Y9" s="291" t="s">
        <v>417</v>
      </c>
      <c r="Z9" s="291" t="s">
        <v>418</v>
      </c>
      <c r="AA9" s="307" t="s">
        <v>10</v>
      </c>
      <c r="AB9" s="307" t="s">
        <v>11</v>
      </c>
      <c r="AC9" s="307" t="s">
        <v>12</v>
      </c>
      <c r="AD9" s="291" t="s">
        <v>13</v>
      </c>
      <c r="AE9" s="291" t="s">
        <v>14</v>
      </c>
      <c r="AF9" s="291" t="s">
        <v>15</v>
      </c>
      <c r="AG9" s="291" t="s">
        <v>16</v>
      </c>
    </row>
    <row r="10" spans="1:33" ht="51" customHeight="1" x14ac:dyDescent="0.2">
      <c r="A10" s="305"/>
      <c r="B10" s="305"/>
      <c r="C10" s="307"/>
      <c r="D10" s="305"/>
      <c r="E10" s="305"/>
      <c r="F10" s="307"/>
      <c r="G10" s="305"/>
      <c r="H10" s="46" t="s">
        <v>49</v>
      </c>
      <c r="I10" s="47" t="s">
        <v>48</v>
      </c>
      <c r="J10" s="47" t="s">
        <v>53</v>
      </c>
      <c r="K10" s="46" t="s">
        <v>37</v>
      </c>
      <c r="L10" s="47" t="s">
        <v>54</v>
      </c>
      <c r="M10" s="46" t="s">
        <v>107</v>
      </c>
      <c r="N10" s="307"/>
      <c r="O10" s="292"/>
      <c r="P10" s="292"/>
      <c r="Q10" s="292"/>
      <c r="R10" s="292"/>
      <c r="S10" s="292"/>
      <c r="T10" s="291"/>
      <c r="U10" s="291"/>
      <c r="V10" s="291"/>
      <c r="W10" s="292"/>
      <c r="X10" s="292"/>
      <c r="Y10" s="292"/>
      <c r="Z10" s="292"/>
      <c r="AA10" s="307"/>
      <c r="AB10" s="307"/>
      <c r="AC10" s="307"/>
      <c r="AD10" s="292"/>
      <c r="AE10" s="291"/>
      <c r="AF10" s="292"/>
      <c r="AG10" s="292"/>
    </row>
    <row r="11" spans="1:33" ht="83.25" customHeight="1" x14ac:dyDescent="0.2">
      <c r="A11" s="375" t="str">
        <f>+'Plan de desarrollo'!B4</f>
        <v>DIMENSIÓN 1: Creemos en la cultura ciudadana</v>
      </c>
      <c r="B11" s="375" t="str">
        <f>+'Objetivos Estratégicos'!B4</f>
        <v xml:space="preserve">Elevar la capacidad de innovación, calidad técnica y audiovisual en la producción, programación y distribución de los contenidos a través de las distintas plataformas. </v>
      </c>
      <c r="C11" s="383">
        <f>+SUM(F11:F14)</f>
        <v>1.4999999999999999E-2</v>
      </c>
      <c r="D11" s="294" t="s">
        <v>76</v>
      </c>
      <c r="E11" s="294"/>
      <c r="F11" s="383">
        <f>+N11</f>
        <v>7.4999999999999997E-3</v>
      </c>
      <c r="G11" s="294" t="s">
        <v>71</v>
      </c>
      <c r="H11" s="294" t="s">
        <v>105</v>
      </c>
      <c r="I11" s="294" t="s">
        <v>72</v>
      </c>
      <c r="J11" s="294" t="s">
        <v>41</v>
      </c>
      <c r="K11" s="294" t="s">
        <v>74</v>
      </c>
      <c r="L11" s="294" t="s">
        <v>56</v>
      </c>
      <c r="M11" s="404">
        <v>0.9</v>
      </c>
      <c r="N11" s="297">
        <v>7.4999999999999997E-3</v>
      </c>
      <c r="O11" s="405"/>
      <c r="P11" s="405"/>
      <c r="Q11" s="405"/>
      <c r="R11" s="405"/>
      <c r="S11" s="405"/>
      <c r="T11" s="405"/>
      <c r="U11" s="404"/>
      <c r="V11" s="404"/>
      <c r="W11" s="404"/>
      <c r="X11" s="404"/>
      <c r="Y11" s="404"/>
      <c r="Z11" s="404"/>
      <c r="AA11" s="412">
        <f>IFERROR(AVERAGE(O11:Z12)/M11,0)</f>
        <v>0</v>
      </c>
      <c r="AB11" s="297">
        <f>IF(AA11&lt;=100%,AA11*N11,N11)</f>
        <v>0</v>
      </c>
      <c r="AC11" s="336">
        <f>(SUM(AB11:AB14)/2)*100</f>
        <v>0</v>
      </c>
      <c r="AD11" s="402"/>
      <c r="AE11" s="385"/>
      <c r="AF11" s="385"/>
      <c r="AG11" s="410"/>
    </row>
    <row r="12" spans="1:33" ht="100.5" customHeight="1" x14ac:dyDescent="0.2">
      <c r="A12" s="401"/>
      <c r="B12" s="401"/>
      <c r="C12" s="383"/>
      <c r="D12" s="294"/>
      <c r="E12" s="294"/>
      <c r="F12" s="383"/>
      <c r="G12" s="294"/>
      <c r="H12" s="294"/>
      <c r="I12" s="294"/>
      <c r="J12" s="294"/>
      <c r="K12" s="294"/>
      <c r="L12" s="294"/>
      <c r="M12" s="404"/>
      <c r="N12" s="297"/>
      <c r="O12" s="304"/>
      <c r="P12" s="304"/>
      <c r="Q12" s="304"/>
      <c r="R12" s="304"/>
      <c r="S12" s="304"/>
      <c r="T12" s="304"/>
      <c r="U12" s="404"/>
      <c r="V12" s="404"/>
      <c r="W12" s="404"/>
      <c r="X12" s="404"/>
      <c r="Y12" s="404"/>
      <c r="Z12" s="404"/>
      <c r="AA12" s="412"/>
      <c r="AB12" s="297"/>
      <c r="AC12" s="337"/>
      <c r="AD12" s="403"/>
      <c r="AE12" s="385"/>
      <c r="AF12" s="385"/>
      <c r="AG12" s="411"/>
    </row>
    <row r="13" spans="1:33" ht="76.5" customHeight="1" x14ac:dyDescent="0.2">
      <c r="A13" s="401"/>
      <c r="B13" s="401"/>
      <c r="C13" s="383"/>
      <c r="D13" s="294" t="s">
        <v>77</v>
      </c>
      <c r="E13" s="294"/>
      <c r="F13" s="383">
        <f>+N11</f>
        <v>7.4999999999999997E-3</v>
      </c>
      <c r="G13" s="294" t="s">
        <v>71</v>
      </c>
      <c r="H13" s="294" t="s">
        <v>106</v>
      </c>
      <c r="I13" s="294" t="s">
        <v>73</v>
      </c>
      <c r="J13" s="294"/>
      <c r="K13" s="294" t="s">
        <v>75</v>
      </c>
      <c r="L13" s="294"/>
      <c r="M13" s="404">
        <v>0.9</v>
      </c>
      <c r="N13" s="336">
        <v>7.4999999999999997E-3</v>
      </c>
      <c r="O13" s="405"/>
      <c r="P13" s="405"/>
      <c r="Q13" s="405"/>
      <c r="R13" s="405"/>
      <c r="S13" s="405"/>
      <c r="T13" s="405"/>
      <c r="U13" s="404"/>
      <c r="V13" s="404"/>
      <c r="W13" s="404"/>
      <c r="X13" s="404"/>
      <c r="Y13" s="404"/>
      <c r="Z13" s="404"/>
      <c r="AA13" s="367">
        <f>IFERROR(AVERAGE(O13:Z14)/M13,0)</f>
        <v>0</v>
      </c>
      <c r="AB13" s="297">
        <f>IF(AA13&lt;=100%,AA13*N13,N13)</f>
        <v>0</v>
      </c>
      <c r="AC13" s="337"/>
      <c r="AD13" s="385"/>
      <c r="AE13" s="385"/>
      <c r="AF13" s="385"/>
      <c r="AG13" s="385"/>
    </row>
    <row r="14" spans="1:33" ht="59.25" customHeight="1" x14ac:dyDescent="0.2">
      <c r="A14" s="376"/>
      <c r="B14" s="376"/>
      <c r="C14" s="383"/>
      <c r="D14" s="294"/>
      <c r="E14" s="294"/>
      <c r="F14" s="383"/>
      <c r="G14" s="294"/>
      <c r="H14" s="294"/>
      <c r="I14" s="294"/>
      <c r="J14" s="294"/>
      <c r="K14" s="294"/>
      <c r="L14" s="294"/>
      <c r="M14" s="404"/>
      <c r="N14" s="338"/>
      <c r="O14" s="304"/>
      <c r="P14" s="304"/>
      <c r="Q14" s="304"/>
      <c r="R14" s="304"/>
      <c r="S14" s="304"/>
      <c r="T14" s="304"/>
      <c r="U14" s="404"/>
      <c r="V14" s="404"/>
      <c r="W14" s="404"/>
      <c r="X14" s="404"/>
      <c r="Y14" s="404"/>
      <c r="Z14" s="404"/>
      <c r="AA14" s="367"/>
      <c r="AB14" s="297"/>
      <c r="AC14" s="338"/>
      <c r="AD14" s="385"/>
      <c r="AE14" s="385"/>
      <c r="AF14" s="385"/>
      <c r="AG14" s="385"/>
    </row>
    <row r="15" spans="1:33" ht="186.75" customHeight="1" x14ac:dyDescent="0.2">
      <c r="A15" s="41" t="s">
        <v>132</v>
      </c>
      <c r="B15" s="39" t="s">
        <v>377</v>
      </c>
      <c r="C15" s="40">
        <f>+F15</f>
        <v>5.0000000000000001E-3</v>
      </c>
      <c r="D15" s="406" t="s">
        <v>78</v>
      </c>
      <c r="E15" s="406"/>
      <c r="F15" s="40">
        <f>+N15</f>
        <v>5.0000000000000001E-3</v>
      </c>
      <c r="G15" s="38" t="s">
        <v>71</v>
      </c>
      <c r="H15" s="38" t="s">
        <v>80</v>
      </c>
      <c r="I15" s="38" t="s">
        <v>79</v>
      </c>
      <c r="J15" s="38" t="s">
        <v>55</v>
      </c>
      <c r="K15" s="38" t="s">
        <v>81</v>
      </c>
      <c r="L15" s="38" t="s">
        <v>36</v>
      </c>
      <c r="M15" s="29">
        <v>80000000</v>
      </c>
      <c r="N15" s="43">
        <v>5.0000000000000001E-3</v>
      </c>
      <c r="O15" s="407"/>
      <c r="P15" s="407"/>
      <c r="Q15" s="407"/>
      <c r="R15" s="408"/>
      <c r="S15" s="408"/>
      <c r="T15" s="408"/>
      <c r="U15" s="409"/>
      <c r="V15" s="409"/>
      <c r="W15" s="409"/>
      <c r="X15" s="409"/>
      <c r="Y15" s="409"/>
      <c r="Z15" s="409"/>
      <c r="AA15" s="263">
        <f>SUM(O15:Z15)/M15</f>
        <v>0</v>
      </c>
      <c r="AB15" s="43">
        <f>IF(AA15&lt;=100%,AA15*N15,N15)</f>
        <v>0</v>
      </c>
      <c r="AC15" s="43">
        <f>(AB15/2)*100</f>
        <v>0</v>
      </c>
      <c r="AD15" s="169"/>
      <c r="AE15" s="171"/>
      <c r="AF15" s="42"/>
      <c r="AG15" s="222"/>
    </row>
    <row r="16" spans="1:33" ht="13.5" customHeight="1" x14ac:dyDescent="0.2">
      <c r="A16" s="331" t="s">
        <v>18</v>
      </c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50">
        <f>SUM(AC11:AC15)</f>
        <v>0</v>
      </c>
      <c r="AD16" s="290"/>
      <c r="AE16" s="290"/>
      <c r="AF16" s="290"/>
      <c r="AG16" s="290"/>
    </row>
    <row r="18" spans="3:33" ht="36" x14ac:dyDescent="0.2">
      <c r="C18" s="21">
        <f>+C15+C11</f>
        <v>0.02</v>
      </c>
      <c r="AG18" s="129" t="s">
        <v>344</v>
      </c>
    </row>
  </sheetData>
  <mergeCells count="101">
    <mergeCell ref="E1:AG3"/>
    <mergeCell ref="Q13:Q14"/>
    <mergeCell ref="R13:R14"/>
    <mergeCell ref="S13:S14"/>
    <mergeCell ref="T13:T14"/>
    <mergeCell ref="Y11:Y12"/>
    <mergeCell ref="Z11:Z12"/>
    <mergeCell ref="O11:O12"/>
    <mergeCell ref="S11:S12"/>
    <mergeCell ref="T11:T12"/>
    <mergeCell ref="P11:P12"/>
    <mergeCell ref="Q11:Q12"/>
    <mergeCell ref="R11:R12"/>
    <mergeCell ref="AG11:AG12"/>
    <mergeCell ref="D13:E14"/>
    <mergeCell ref="F13:F14"/>
    <mergeCell ref="G13:G14"/>
    <mergeCell ref="H13:H14"/>
    <mergeCell ref="I13:I14"/>
    <mergeCell ref="K13:K14"/>
    <mergeCell ref="M13:M14"/>
    <mergeCell ref="N13:N14"/>
    <mergeCell ref="AA11:AA12"/>
    <mergeCell ref="AB11:AB12"/>
    <mergeCell ref="AD16:AG16"/>
    <mergeCell ref="D15:E15"/>
    <mergeCell ref="O15:Q15"/>
    <mergeCell ref="R15:T15"/>
    <mergeCell ref="U15:W15"/>
    <mergeCell ref="X15:Z15"/>
    <mergeCell ref="A16:AB16"/>
    <mergeCell ref="AB13:AB14"/>
    <mergeCell ref="AD13:AD14"/>
    <mergeCell ref="AE13:AE14"/>
    <mergeCell ref="AF13:AF14"/>
    <mergeCell ref="AG13:AG14"/>
    <mergeCell ref="V13:V14"/>
    <mergeCell ref="W13:W14"/>
    <mergeCell ref="X13:X14"/>
    <mergeCell ref="Y13:Y14"/>
    <mergeCell ref="Z13:Z14"/>
    <mergeCell ref="AA13:AA14"/>
    <mergeCell ref="P13:P14"/>
    <mergeCell ref="C11:C14"/>
    <mergeCell ref="D11:E12"/>
    <mergeCell ref="F11:F12"/>
    <mergeCell ref="G11:G12"/>
    <mergeCell ref="H11:H12"/>
    <mergeCell ref="AD11:AD12"/>
    <mergeCell ref="AE11:AE12"/>
    <mergeCell ref="AF11:AF12"/>
    <mergeCell ref="U11:U12"/>
    <mergeCell ref="V11:V12"/>
    <mergeCell ref="W11:W12"/>
    <mergeCell ref="X11:X12"/>
    <mergeCell ref="J11:J14"/>
    <mergeCell ref="K11:K12"/>
    <mergeCell ref="L11:L14"/>
    <mergeCell ref="M11:M12"/>
    <mergeCell ref="N11:N12"/>
    <mergeCell ref="U13:U14"/>
    <mergeCell ref="O13:O14"/>
    <mergeCell ref="V9:V10"/>
    <mergeCell ref="W9:W10"/>
    <mergeCell ref="A9:A10"/>
    <mergeCell ref="B9:B10"/>
    <mergeCell ref="C9:C10"/>
    <mergeCell ref="D9:E10"/>
    <mergeCell ref="F9:F10"/>
    <mergeCell ref="G9:G10"/>
    <mergeCell ref="S9:S10"/>
    <mergeCell ref="T9:T10"/>
    <mergeCell ref="U9:U10"/>
    <mergeCell ref="H9:M9"/>
    <mergeCell ref="N9:N10"/>
    <mergeCell ref="O9:O10"/>
    <mergeCell ref="P9:P10"/>
    <mergeCell ref="X9:X10"/>
    <mergeCell ref="I11:I12"/>
    <mergeCell ref="A11:A14"/>
    <mergeCell ref="B11:B14"/>
    <mergeCell ref="A1:D3"/>
    <mergeCell ref="A4:AG4"/>
    <mergeCell ref="AC11:AC14"/>
    <mergeCell ref="A5:AG5"/>
    <mergeCell ref="A6:AG6"/>
    <mergeCell ref="A7:AG7"/>
    <mergeCell ref="A8:N8"/>
    <mergeCell ref="O8:Z8"/>
    <mergeCell ref="AD8:AG8"/>
    <mergeCell ref="AG9:AG10"/>
    <mergeCell ref="AA9:AA10"/>
    <mergeCell ref="AB9:AB10"/>
    <mergeCell ref="AC9:AC10"/>
    <mergeCell ref="AD9:AD10"/>
    <mergeCell ref="AE9:AE10"/>
    <mergeCell ref="AF9:AF10"/>
    <mergeCell ref="Q9:Q10"/>
    <mergeCell ref="R9:R10"/>
    <mergeCell ref="Y9:Y10"/>
    <mergeCell ref="Z9:Z10"/>
  </mergeCells>
  <pageMargins left="0.7" right="0.7" top="0.75" bottom="0.75" header="0.3" footer="0.3"/>
  <pageSetup orientation="portrait" r:id="rId1"/>
  <ignoredErrors>
    <ignoredError sqref="AB11:AC11 AB13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67"/>
  <sheetViews>
    <sheetView showGridLines="0" topLeftCell="I1" zoomScale="70" zoomScaleNormal="70" zoomScalePageLayoutView="85" workbookViewId="0">
      <selection activeCell="V11" sqref="V11:V19"/>
    </sheetView>
  </sheetViews>
  <sheetFormatPr baseColWidth="10" defaultColWidth="0" defaultRowHeight="0" customHeight="1" zeroHeight="1" x14ac:dyDescent="0.2"/>
  <cols>
    <col min="1" max="1" width="19.28515625" style="1" customWidth="1"/>
    <col min="2" max="2" width="26.28515625" style="1" customWidth="1"/>
    <col min="3" max="3" width="11" style="1" customWidth="1"/>
    <col min="4" max="4" width="19.5703125" style="1" customWidth="1"/>
    <col min="5" max="5" width="5.7109375" style="1" customWidth="1"/>
    <col min="6" max="6" width="12.140625" style="1" customWidth="1"/>
    <col min="7" max="7" width="19.140625" style="1" bestFit="1" customWidth="1"/>
    <col min="8" max="8" width="22.42578125" style="1" customWidth="1"/>
    <col min="9" max="9" width="45.28515625" style="1" customWidth="1"/>
    <col min="10" max="10" width="13.7109375" style="1" customWidth="1"/>
    <col min="11" max="12" width="16.42578125" style="1" customWidth="1"/>
    <col min="13" max="13" width="19" style="1" customWidth="1"/>
    <col min="14" max="14" width="11.7109375" style="1" customWidth="1"/>
    <col min="15" max="15" width="15.42578125" style="1" customWidth="1"/>
    <col min="16" max="16" width="15.85546875" style="1" customWidth="1"/>
    <col min="17" max="17" width="15" style="1" customWidth="1"/>
    <col min="18" max="18" width="15.5703125" style="1" customWidth="1"/>
    <col min="19" max="20" width="15.7109375" style="1" customWidth="1"/>
    <col min="21" max="21" width="14.85546875" style="1" customWidth="1"/>
    <col min="22" max="22" width="47" style="1" customWidth="1"/>
    <col min="23" max="25" width="43.28515625" style="1" customWidth="1"/>
    <col min="26" max="26" width="9.7109375" style="1" customWidth="1"/>
    <col min="27" max="31" width="0" style="1" hidden="1" customWidth="1"/>
    <col min="32" max="16384" width="15" style="1" hidden="1"/>
  </cols>
  <sheetData>
    <row r="1" spans="1:25" ht="18.75" customHeight="1" x14ac:dyDescent="0.2">
      <c r="A1" s="312"/>
      <c r="B1" s="312"/>
      <c r="C1" s="312"/>
      <c r="D1" s="312"/>
      <c r="E1" s="313" t="s">
        <v>0</v>
      </c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5"/>
    </row>
    <row r="2" spans="1:25" ht="13.5" customHeight="1" x14ac:dyDescent="0.2">
      <c r="A2" s="312"/>
      <c r="B2" s="312"/>
      <c r="C2" s="312"/>
      <c r="D2" s="312"/>
      <c r="E2" s="316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8"/>
    </row>
    <row r="3" spans="1:25" ht="13.5" customHeight="1" x14ac:dyDescent="0.2">
      <c r="A3" s="312"/>
      <c r="B3" s="312"/>
      <c r="C3" s="312"/>
      <c r="D3" s="312"/>
      <c r="E3" s="319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1"/>
    </row>
    <row r="4" spans="1:25" ht="12.75" x14ac:dyDescent="0.2">
      <c r="A4" s="324" t="s">
        <v>135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</row>
    <row r="5" spans="1:25" ht="12.75" x14ac:dyDescent="0.2">
      <c r="A5" s="324" t="s">
        <v>137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</row>
    <row r="6" spans="1:25" ht="12.75" x14ac:dyDescent="0.2">
      <c r="A6" s="324" t="s">
        <v>440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</row>
    <row r="7" spans="1:25" ht="12.75" x14ac:dyDescent="0.2">
      <c r="A7" s="421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3"/>
    </row>
    <row r="8" spans="1:25" ht="15.75" customHeight="1" x14ac:dyDescent="0.2">
      <c r="A8" s="322" t="s">
        <v>2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05" t="s">
        <v>3</v>
      </c>
      <c r="P8" s="305"/>
      <c r="Q8" s="305"/>
      <c r="R8" s="305"/>
      <c r="S8" s="120"/>
      <c r="T8" s="120"/>
      <c r="U8" s="120"/>
      <c r="V8" s="308" t="s">
        <v>4</v>
      </c>
      <c r="W8" s="308"/>
      <c r="X8" s="308"/>
      <c r="Y8" s="308"/>
    </row>
    <row r="9" spans="1:25" ht="11.25" customHeight="1" x14ac:dyDescent="0.2">
      <c r="A9" s="305" t="s">
        <v>141</v>
      </c>
      <c r="B9" s="305" t="s">
        <v>397</v>
      </c>
      <c r="C9" s="307" t="s">
        <v>6</v>
      </c>
      <c r="D9" s="305" t="s">
        <v>7</v>
      </c>
      <c r="E9" s="305"/>
      <c r="F9" s="307" t="s">
        <v>6</v>
      </c>
      <c r="G9" s="305" t="s">
        <v>8</v>
      </c>
      <c r="H9" s="305" t="s">
        <v>9</v>
      </c>
      <c r="I9" s="305"/>
      <c r="J9" s="305"/>
      <c r="K9" s="305"/>
      <c r="L9" s="305"/>
      <c r="M9" s="305"/>
      <c r="N9" s="307" t="s">
        <v>6</v>
      </c>
      <c r="O9" s="291" t="s">
        <v>406</v>
      </c>
      <c r="P9" s="291" t="s">
        <v>419</v>
      </c>
      <c r="Q9" s="291" t="s">
        <v>420</v>
      </c>
      <c r="R9" s="291" t="s">
        <v>421</v>
      </c>
      <c r="S9" s="307" t="s">
        <v>10</v>
      </c>
      <c r="T9" s="307" t="s">
        <v>11</v>
      </c>
      <c r="U9" s="307" t="s">
        <v>12</v>
      </c>
      <c r="V9" s="291" t="s">
        <v>13</v>
      </c>
      <c r="W9" s="291" t="s">
        <v>14</v>
      </c>
      <c r="X9" s="291" t="s">
        <v>15</v>
      </c>
      <c r="Y9" s="291" t="s">
        <v>16</v>
      </c>
    </row>
    <row r="10" spans="1:25" ht="77.25" customHeight="1" x14ac:dyDescent="0.2">
      <c r="A10" s="305"/>
      <c r="B10" s="305"/>
      <c r="C10" s="307"/>
      <c r="D10" s="305"/>
      <c r="E10" s="305"/>
      <c r="F10" s="307"/>
      <c r="G10" s="305"/>
      <c r="H10" s="120" t="s">
        <v>49</v>
      </c>
      <c r="I10" s="128" t="s">
        <v>48</v>
      </c>
      <c r="J10" s="128" t="s">
        <v>53</v>
      </c>
      <c r="K10" s="120" t="s">
        <v>37</v>
      </c>
      <c r="L10" s="128" t="s">
        <v>54</v>
      </c>
      <c r="M10" s="128" t="s">
        <v>58</v>
      </c>
      <c r="N10" s="307"/>
      <c r="O10" s="291"/>
      <c r="P10" s="291"/>
      <c r="Q10" s="291"/>
      <c r="R10" s="291"/>
      <c r="S10" s="307"/>
      <c r="T10" s="307"/>
      <c r="U10" s="307"/>
      <c r="V10" s="292"/>
      <c r="W10" s="291"/>
      <c r="X10" s="292"/>
      <c r="Y10" s="292"/>
    </row>
    <row r="11" spans="1:25" ht="12.75" customHeight="1" x14ac:dyDescent="0.2">
      <c r="A11" s="293" t="s">
        <v>253</v>
      </c>
      <c r="B11" s="293"/>
      <c r="C11" s="293"/>
      <c r="D11" s="293"/>
      <c r="E11" s="293"/>
      <c r="F11" s="293"/>
      <c r="G11" s="293"/>
      <c r="H11" s="294" t="s">
        <v>255</v>
      </c>
      <c r="I11" s="424" t="s">
        <v>256</v>
      </c>
      <c r="J11" s="294" t="s">
        <v>55</v>
      </c>
      <c r="K11" s="294" t="s">
        <v>255</v>
      </c>
      <c r="L11" s="294" t="s">
        <v>36</v>
      </c>
      <c r="M11" s="296">
        <v>60000000</v>
      </c>
      <c r="N11" s="336">
        <v>5.0000000000000001E-3</v>
      </c>
      <c r="O11" s="416"/>
      <c r="P11" s="416"/>
      <c r="Q11" s="416"/>
      <c r="R11" s="416"/>
      <c r="S11" s="418">
        <f>+SUM(O11:R12)/M11</f>
        <v>0</v>
      </c>
      <c r="T11" s="419">
        <f>IF(S11&lt;=100%,S11*N11,N11)</f>
        <v>0</v>
      </c>
      <c r="U11" s="306">
        <f>(T11/8.17)*100</f>
        <v>0</v>
      </c>
      <c r="V11" s="329"/>
      <c r="W11" s="301"/>
      <c r="X11" s="329"/>
      <c r="Y11" s="323"/>
    </row>
    <row r="12" spans="1:25" ht="78" customHeight="1" x14ac:dyDescent="0.2">
      <c r="A12" s="413" t="str">
        <f>+'Plan de desarrollo'!B4</f>
        <v>DIMENSIÓN 1: Creemos en la cultura ciudadana</v>
      </c>
      <c r="B12" s="351" t="str">
        <f>'Objetivos Estratégicos'!B5</f>
        <v xml:space="preserve">Realizar alianzas estratégicas con la Alcaldía y sus entes descentralizados para temas de comunicación a través de la Agencia y Central de Medios de Telemedellín. </v>
      </c>
      <c r="C12" s="336">
        <f>SUM(F12:F19)</f>
        <v>8.1699999999999995E-2</v>
      </c>
      <c r="D12" s="294" t="s">
        <v>254</v>
      </c>
      <c r="E12" s="294"/>
      <c r="F12" s="336">
        <f>+SUM(N11:N18)</f>
        <v>5.67E-2</v>
      </c>
      <c r="G12" s="116" t="s">
        <v>136</v>
      </c>
      <c r="H12" s="295"/>
      <c r="I12" s="425"/>
      <c r="J12" s="295"/>
      <c r="K12" s="295"/>
      <c r="L12" s="295"/>
      <c r="M12" s="296"/>
      <c r="N12" s="338"/>
      <c r="O12" s="417"/>
      <c r="P12" s="417"/>
      <c r="Q12" s="417"/>
      <c r="R12" s="417"/>
      <c r="S12" s="418"/>
      <c r="T12" s="420"/>
      <c r="U12" s="306"/>
      <c r="V12" s="330"/>
      <c r="W12" s="302"/>
      <c r="X12" s="330"/>
      <c r="Y12" s="323"/>
    </row>
    <row r="13" spans="1:25" ht="90.75" customHeight="1" x14ac:dyDescent="0.2">
      <c r="A13" s="414"/>
      <c r="B13" s="352"/>
      <c r="C13" s="337"/>
      <c r="D13" s="294" t="s">
        <v>257</v>
      </c>
      <c r="E13" s="294"/>
      <c r="F13" s="337"/>
      <c r="G13" s="116" t="s">
        <v>136</v>
      </c>
      <c r="H13" s="116" t="s">
        <v>258</v>
      </c>
      <c r="I13" s="2" t="s">
        <v>259</v>
      </c>
      <c r="J13" s="116" t="s">
        <v>55</v>
      </c>
      <c r="K13" s="116" t="s">
        <v>258</v>
      </c>
      <c r="L13" s="116" t="s">
        <v>36</v>
      </c>
      <c r="M13" s="117">
        <v>50000000</v>
      </c>
      <c r="N13" s="163">
        <v>5.0000000000000001E-3</v>
      </c>
      <c r="O13" s="162"/>
      <c r="P13" s="196"/>
      <c r="Q13" s="196"/>
      <c r="R13" s="223"/>
      <c r="S13" s="202">
        <f t="shared" ref="S13:S18" si="0">SUM(O13:R13)/M13</f>
        <v>0</v>
      </c>
      <c r="T13" s="118">
        <f>IF(S13&lt;=100%,S13*N13,N13)</f>
        <v>0</v>
      </c>
      <c r="U13" s="119">
        <f t="shared" ref="U13:U19" si="1">(T13/8.17)*100</f>
        <v>0</v>
      </c>
      <c r="V13" s="282"/>
      <c r="W13" s="115"/>
      <c r="X13" s="195"/>
      <c r="Y13" s="222"/>
    </row>
    <row r="14" spans="1:25" ht="78" customHeight="1" x14ac:dyDescent="0.2">
      <c r="A14" s="414"/>
      <c r="B14" s="352"/>
      <c r="C14" s="337"/>
      <c r="D14" s="294" t="s">
        <v>402</v>
      </c>
      <c r="E14" s="294"/>
      <c r="F14" s="337"/>
      <c r="G14" s="116" t="s">
        <v>136</v>
      </c>
      <c r="H14" s="116" t="s">
        <v>403</v>
      </c>
      <c r="I14" s="2" t="s">
        <v>404</v>
      </c>
      <c r="J14" s="116" t="s">
        <v>55</v>
      </c>
      <c r="K14" s="116" t="s">
        <v>403</v>
      </c>
      <c r="L14" s="116" t="s">
        <v>36</v>
      </c>
      <c r="M14" s="117">
        <v>100000000</v>
      </c>
      <c r="N14" s="163">
        <v>0.02</v>
      </c>
      <c r="O14" s="283"/>
      <c r="P14" s="196"/>
      <c r="Q14" s="196"/>
      <c r="R14" s="223"/>
      <c r="S14" s="202">
        <f t="shared" si="0"/>
        <v>0</v>
      </c>
      <c r="T14" s="118">
        <f t="shared" ref="T14:T19" si="2">IF(S14&lt;=100%,S14*N14,N14)</f>
        <v>0</v>
      </c>
      <c r="U14" s="119">
        <f t="shared" si="1"/>
        <v>0</v>
      </c>
      <c r="V14" s="282"/>
      <c r="W14" s="115"/>
      <c r="X14" s="197"/>
      <c r="Y14" s="237"/>
    </row>
    <row r="15" spans="1:25" ht="91.5" customHeight="1" x14ac:dyDescent="0.2">
      <c r="A15" s="414"/>
      <c r="B15" s="352"/>
      <c r="C15" s="337"/>
      <c r="D15" s="294" t="s">
        <v>265</v>
      </c>
      <c r="E15" s="294"/>
      <c r="F15" s="337"/>
      <c r="G15" s="116" t="s">
        <v>136</v>
      </c>
      <c r="H15" s="116" t="s">
        <v>266</v>
      </c>
      <c r="I15" s="2" t="s">
        <v>267</v>
      </c>
      <c r="J15" s="116" t="s">
        <v>55</v>
      </c>
      <c r="K15" s="116" t="s">
        <v>266</v>
      </c>
      <c r="L15" s="116" t="s">
        <v>36</v>
      </c>
      <c r="M15" s="117">
        <v>25000000</v>
      </c>
      <c r="N15" s="163">
        <v>0.02</v>
      </c>
      <c r="O15" s="283"/>
      <c r="P15" s="196"/>
      <c r="Q15" s="196"/>
      <c r="R15" s="236"/>
      <c r="S15" s="202">
        <f t="shared" si="0"/>
        <v>0</v>
      </c>
      <c r="T15" s="118">
        <f t="shared" si="2"/>
        <v>0</v>
      </c>
      <c r="U15" s="119">
        <f t="shared" si="1"/>
        <v>0</v>
      </c>
      <c r="V15" s="282"/>
      <c r="W15" s="115"/>
      <c r="X15" s="197"/>
      <c r="Y15" s="237"/>
    </row>
    <row r="16" spans="1:25" ht="80.25" customHeight="1" x14ac:dyDescent="0.2">
      <c r="A16" s="414"/>
      <c r="B16" s="352"/>
      <c r="C16" s="337"/>
      <c r="D16" s="294" t="s">
        <v>268</v>
      </c>
      <c r="E16" s="294"/>
      <c r="F16" s="337"/>
      <c r="G16" s="116" t="s">
        <v>136</v>
      </c>
      <c r="H16" s="116" t="s">
        <v>274</v>
      </c>
      <c r="I16" s="2" t="s">
        <v>365</v>
      </c>
      <c r="J16" s="116" t="s">
        <v>41</v>
      </c>
      <c r="K16" s="125" t="s">
        <v>338</v>
      </c>
      <c r="L16" s="116" t="s">
        <v>36</v>
      </c>
      <c r="M16" s="127">
        <v>0.8</v>
      </c>
      <c r="N16" s="163">
        <v>2.2000000000000001E-3</v>
      </c>
      <c r="O16" s="164"/>
      <c r="P16" s="200"/>
      <c r="Q16" s="200"/>
      <c r="R16" s="240"/>
      <c r="S16" s="202">
        <f t="shared" si="0"/>
        <v>0</v>
      </c>
      <c r="T16" s="118">
        <f t="shared" si="2"/>
        <v>0</v>
      </c>
      <c r="U16" s="119">
        <f t="shared" si="1"/>
        <v>0</v>
      </c>
      <c r="V16" s="282"/>
      <c r="W16" s="161"/>
      <c r="X16" s="195"/>
      <c r="Y16" s="235"/>
    </row>
    <row r="17" spans="1:25" ht="112.5" customHeight="1" x14ac:dyDescent="0.2">
      <c r="A17" s="414"/>
      <c r="B17" s="352"/>
      <c r="C17" s="337"/>
      <c r="D17" s="294" t="s">
        <v>269</v>
      </c>
      <c r="E17" s="294"/>
      <c r="F17" s="337"/>
      <c r="G17" s="116" t="s">
        <v>136</v>
      </c>
      <c r="H17" s="116" t="s">
        <v>275</v>
      </c>
      <c r="I17" s="2" t="s">
        <v>366</v>
      </c>
      <c r="J17" s="116" t="s">
        <v>41</v>
      </c>
      <c r="K17" s="125" t="s">
        <v>340</v>
      </c>
      <c r="L17" s="116" t="s">
        <v>36</v>
      </c>
      <c r="M17" s="127">
        <v>0.8</v>
      </c>
      <c r="N17" s="163">
        <v>2.2000000000000001E-3</v>
      </c>
      <c r="O17" s="164"/>
      <c r="P17" s="200"/>
      <c r="Q17" s="200"/>
      <c r="R17" s="240"/>
      <c r="S17" s="202">
        <f t="shared" si="0"/>
        <v>0</v>
      </c>
      <c r="T17" s="118">
        <f t="shared" si="2"/>
        <v>0</v>
      </c>
      <c r="U17" s="119">
        <f t="shared" si="1"/>
        <v>0</v>
      </c>
      <c r="V17" s="282"/>
      <c r="W17" s="161"/>
      <c r="X17" s="195"/>
      <c r="Y17" s="235"/>
    </row>
    <row r="18" spans="1:25" ht="108" customHeight="1" x14ac:dyDescent="0.2">
      <c r="A18" s="414"/>
      <c r="B18" s="352"/>
      <c r="C18" s="337"/>
      <c r="D18" s="294" t="s">
        <v>280</v>
      </c>
      <c r="E18" s="294"/>
      <c r="F18" s="338"/>
      <c r="G18" s="116" t="s">
        <v>136</v>
      </c>
      <c r="H18" s="116" t="s">
        <v>281</v>
      </c>
      <c r="I18" s="2" t="s">
        <v>367</v>
      </c>
      <c r="J18" s="116" t="s">
        <v>41</v>
      </c>
      <c r="K18" s="125" t="s">
        <v>339</v>
      </c>
      <c r="L18" s="116" t="s">
        <v>36</v>
      </c>
      <c r="M18" s="127">
        <v>0.8</v>
      </c>
      <c r="N18" s="163">
        <v>2.3E-3</v>
      </c>
      <c r="O18" s="164"/>
      <c r="P18" s="200"/>
      <c r="Q18" s="200"/>
      <c r="R18" s="240"/>
      <c r="S18" s="202">
        <f t="shared" si="0"/>
        <v>0</v>
      </c>
      <c r="T18" s="118">
        <f t="shared" si="2"/>
        <v>0</v>
      </c>
      <c r="U18" s="119">
        <f t="shared" si="1"/>
        <v>0</v>
      </c>
      <c r="V18" s="282"/>
      <c r="W18" s="161"/>
      <c r="X18" s="195"/>
      <c r="Y18" s="235"/>
    </row>
    <row r="19" spans="1:25" ht="82.5" customHeight="1" x14ac:dyDescent="0.2">
      <c r="A19" s="415"/>
      <c r="B19" s="353"/>
      <c r="C19" s="338"/>
      <c r="D19" s="294" t="s">
        <v>347</v>
      </c>
      <c r="E19" s="294"/>
      <c r="F19" s="118">
        <f>N19</f>
        <v>2.5000000000000001E-2</v>
      </c>
      <c r="G19" s="116" t="s">
        <v>136</v>
      </c>
      <c r="H19" s="116" t="s">
        <v>348</v>
      </c>
      <c r="I19" s="2" t="s">
        <v>349</v>
      </c>
      <c r="J19" s="116" t="s">
        <v>55</v>
      </c>
      <c r="K19" s="116" t="s">
        <v>348</v>
      </c>
      <c r="L19" s="116" t="s">
        <v>36</v>
      </c>
      <c r="M19" s="117">
        <v>1587000000</v>
      </c>
      <c r="N19" s="163">
        <v>2.5000000000000001E-2</v>
      </c>
      <c r="O19" s="162"/>
      <c r="P19" s="196"/>
      <c r="Q19" s="196"/>
      <c r="R19" s="236"/>
      <c r="S19" s="202">
        <f>SUM(O19)/M19</f>
        <v>0</v>
      </c>
      <c r="T19" s="118">
        <f t="shared" si="2"/>
        <v>0</v>
      </c>
      <c r="U19" s="119">
        <f t="shared" si="1"/>
        <v>0</v>
      </c>
      <c r="V19" s="161"/>
      <c r="W19" s="115"/>
      <c r="X19" s="197"/>
      <c r="Y19" s="237"/>
    </row>
    <row r="20" spans="1:25" s="12" customFormat="1" ht="17.25" customHeight="1" x14ac:dyDescent="0.2">
      <c r="A20" s="331" t="s">
        <v>18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112">
        <f>SUM(U11:U19)</f>
        <v>0</v>
      </c>
      <c r="V20" s="312"/>
      <c r="W20" s="312"/>
      <c r="X20" s="312"/>
      <c r="Y20" s="312"/>
    </row>
    <row r="21" spans="1:25" s="15" customFormat="1" ht="12.75" x14ac:dyDescent="0.2"/>
    <row r="22" spans="1:25" s="15" customFormat="1" ht="36" x14ac:dyDescent="0.2">
      <c r="C22" s="170"/>
      <c r="Y22" s="131" t="s">
        <v>344</v>
      </c>
    </row>
    <row r="23" spans="1:25" s="15" customFormat="1" ht="26.25" customHeight="1" x14ac:dyDescent="0.2"/>
    <row r="24" spans="1:25" s="15" customFormat="1" ht="12.75" x14ac:dyDescent="0.2"/>
    <row r="25" spans="1:25" s="15" customFormat="1" ht="26.25" customHeight="1" x14ac:dyDescent="0.2"/>
    <row r="26" spans="1:25" s="15" customFormat="1" ht="12.75" x14ac:dyDescent="0.2"/>
    <row r="27" spans="1:25" s="15" customFormat="1" ht="46.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5" s="15" customFormat="1" ht="16.5" customHeigh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5" s="15" customFormat="1" ht="12.75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5" s="15" customFormat="1" ht="12.75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5" s="15" customFormat="1" ht="12.75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5" s="15" customFormat="1" ht="12.75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="15" customFormat="1" ht="12.75" x14ac:dyDescent="0.2"/>
    <row r="34" s="15" customFormat="1" ht="12.75" x14ac:dyDescent="0.2"/>
    <row r="35" s="15" customFormat="1" ht="12.75" x14ac:dyDescent="0.2"/>
    <row r="36" s="15" customFormat="1" ht="12.75" x14ac:dyDescent="0.2"/>
    <row r="37" s="15" customFormat="1" ht="12.75" x14ac:dyDescent="0.2"/>
    <row r="38" s="15" customFormat="1" ht="12.75" x14ac:dyDescent="0.2"/>
    <row r="39" s="15" customFormat="1" ht="12.75" x14ac:dyDescent="0.2"/>
    <row r="40" s="15" customFormat="1" ht="12.75" x14ac:dyDescent="0.2"/>
    <row r="41" s="15" customFormat="1" ht="12.75" x14ac:dyDescent="0.2"/>
    <row r="42" s="15" customFormat="1" ht="12.75" x14ac:dyDescent="0.2"/>
    <row r="43" s="15" customFormat="1" ht="12.75" x14ac:dyDescent="0.2"/>
    <row r="44" s="15" customFormat="1" ht="12.75" x14ac:dyDescent="0.2"/>
    <row r="45" s="15" customFormat="1" ht="12.75" x14ac:dyDescent="0.2"/>
    <row r="46" s="15" customFormat="1" ht="12.75" x14ac:dyDescent="0.2"/>
    <row r="47" s="15" customFormat="1" ht="12.75" x14ac:dyDescent="0.2"/>
    <row r="48" s="15" customFormat="1" ht="12.75" x14ac:dyDescent="0.2"/>
    <row r="49" s="15" customFormat="1" ht="12.75" x14ac:dyDescent="0.2"/>
    <row r="50" s="15" customFormat="1" ht="12.75" x14ac:dyDescent="0.2"/>
    <row r="51" s="15" customFormat="1" ht="12.75" x14ac:dyDescent="0.2"/>
    <row r="52" s="15" customFormat="1" ht="12.75" x14ac:dyDescent="0.2"/>
    <row r="53" s="15" customFormat="1" ht="12.75" x14ac:dyDescent="0.2"/>
    <row r="54" s="15" customFormat="1" ht="12.75" x14ac:dyDescent="0.2"/>
    <row r="55" s="15" customFormat="1" ht="12.75" x14ac:dyDescent="0.2"/>
    <row r="56" s="15" customFormat="1" ht="12.75" x14ac:dyDescent="0.2"/>
    <row r="57" s="15" customFormat="1" ht="12.75" x14ac:dyDescent="0.2"/>
    <row r="58" s="15" customFormat="1" ht="12.75" x14ac:dyDescent="0.2"/>
    <row r="59" s="15" customFormat="1" ht="12.75" x14ac:dyDescent="0.2"/>
    <row r="60" s="15" customFormat="1" ht="12.75" x14ac:dyDescent="0.2"/>
    <row r="61" s="15" customFormat="1" ht="12.75" x14ac:dyDescent="0.2"/>
    <row r="62" s="15" customFormat="1" ht="12.75" x14ac:dyDescent="0.2"/>
    <row r="63" s="15" customFormat="1" ht="12.75" x14ac:dyDescent="0.2"/>
    <row r="64" s="15" customFormat="1" ht="12.75" x14ac:dyDescent="0.2"/>
    <row r="65" s="15" customFormat="1" ht="12.75" x14ac:dyDescent="0.2"/>
    <row r="66" s="15" customFormat="1" ht="12.75" x14ac:dyDescent="0.2"/>
    <row r="67" s="15" customFormat="1" ht="12.75" x14ac:dyDescent="0.2"/>
  </sheetData>
  <mergeCells count="61">
    <mergeCell ref="C12:C19"/>
    <mergeCell ref="O9:O10"/>
    <mergeCell ref="P9:P10"/>
    <mergeCell ref="X9:X10"/>
    <mergeCell ref="S9:S10"/>
    <mergeCell ref="R9:R10"/>
    <mergeCell ref="V9:V10"/>
    <mergeCell ref="R11:R12"/>
    <mergeCell ref="A11:G11"/>
    <mergeCell ref="H11:H12"/>
    <mergeCell ref="I11:I12"/>
    <mergeCell ref="J11:J12"/>
    <mergeCell ref="K11:K12"/>
    <mergeCell ref="L11:L12"/>
    <mergeCell ref="M11:M12"/>
    <mergeCell ref="N11:N12"/>
    <mergeCell ref="A7:Y7"/>
    <mergeCell ref="A1:D3"/>
    <mergeCell ref="E1:Y3"/>
    <mergeCell ref="A4:Y4"/>
    <mergeCell ref="A5:Y5"/>
    <mergeCell ref="A6:Y6"/>
    <mergeCell ref="A8:N8"/>
    <mergeCell ref="O8:R8"/>
    <mergeCell ref="V8:Y8"/>
    <mergeCell ref="A9:A10"/>
    <mergeCell ref="B9:B10"/>
    <mergeCell ref="C9:C10"/>
    <mergeCell ref="D9:E10"/>
    <mergeCell ref="F9:F10"/>
    <mergeCell ref="W9:W10"/>
    <mergeCell ref="T9:T10"/>
    <mergeCell ref="U9:U10"/>
    <mergeCell ref="Q9:Q10"/>
    <mergeCell ref="G9:G10"/>
    <mergeCell ref="H9:M9"/>
    <mergeCell ref="Y9:Y10"/>
    <mergeCell ref="N9:N10"/>
    <mergeCell ref="Y11:Y12"/>
    <mergeCell ref="S11:S12"/>
    <mergeCell ref="T11:T12"/>
    <mergeCell ref="U11:U12"/>
    <mergeCell ref="V11:V12"/>
    <mergeCell ref="W11:W12"/>
    <mergeCell ref="X11:X12"/>
    <mergeCell ref="A20:T20"/>
    <mergeCell ref="V20:Y20"/>
    <mergeCell ref="A12:A19"/>
    <mergeCell ref="B12:B19"/>
    <mergeCell ref="D12:E12"/>
    <mergeCell ref="F12:F18"/>
    <mergeCell ref="D13:E13"/>
    <mergeCell ref="D14:E14"/>
    <mergeCell ref="D15:E15"/>
    <mergeCell ref="D16:E16"/>
    <mergeCell ref="D17:E17"/>
    <mergeCell ref="D18:E18"/>
    <mergeCell ref="D19:E19"/>
    <mergeCell ref="O11:O12"/>
    <mergeCell ref="P11:P12"/>
    <mergeCell ref="Q11:Q12"/>
  </mergeCells>
  <pageMargins left="0.7" right="0.7" top="0.75" bottom="0.75" header="0.3" footer="0.3"/>
  <pageSetup orientation="portrait" horizontalDpi="4294967292" verticalDpi="4294967292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E28"/>
  <sheetViews>
    <sheetView showGridLines="0" topLeftCell="F1" zoomScale="70" zoomScaleNormal="70" zoomScalePageLayoutView="85" workbookViewId="0">
      <selection activeCell="V11" sqref="V11:V13"/>
    </sheetView>
  </sheetViews>
  <sheetFormatPr baseColWidth="10" defaultColWidth="0" defaultRowHeight="12.75" customHeight="1" x14ac:dyDescent="0.2"/>
  <cols>
    <col min="1" max="1" width="21.42578125" style="1" customWidth="1"/>
    <col min="2" max="2" width="22.140625" style="1" customWidth="1"/>
    <col min="3" max="3" width="10.28515625" style="1" customWidth="1"/>
    <col min="4" max="5" width="20.7109375" style="1" customWidth="1"/>
    <col min="6" max="6" width="10.28515625" style="1" customWidth="1"/>
    <col min="7" max="7" width="15.28515625" style="1" bestFit="1" customWidth="1"/>
    <col min="8" max="8" width="15.28515625" style="1" customWidth="1"/>
    <col min="9" max="9" width="39.42578125" style="1" customWidth="1"/>
    <col min="10" max="10" width="16.7109375" style="1" customWidth="1"/>
    <col min="11" max="11" width="20.28515625" style="1" customWidth="1"/>
    <col min="12" max="12" width="14.42578125" style="1" customWidth="1"/>
    <col min="13" max="13" width="18.28515625" style="1" bestFit="1" customWidth="1"/>
    <col min="14" max="14" width="10.5703125" style="1" customWidth="1"/>
    <col min="15" max="15" width="15.5703125" style="1" bestFit="1" customWidth="1"/>
    <col min="16" max="16" width="14.42578125" style="1" customWidth="1"/>
    <col min="17" max="17" width="14.5703125" style="1" customWidth="1"/>
    <col min="18" max="18" width="14.140625" style="1" customWidth="1"/>
    <col min="19" max="20" width="17.28515625" style="1" customWidth="1"/>
    <col min="21" max="21" width="17.7109375" style="1" customWidth="1"/>
    <col min="22" max="22" width="31.28515625" style="1" customWidth="1"/>
    <col min="23" max="25" width="24.28515625" style="1" customWidth="1"/>
    <col min="26" max="26" width="8.7109375" style="1" customWidth="1"/>
    <col min="27" max="31" width="0" style="1" hidden="1" customWidth="1"/>
    <col min="32" max="16384" width="11.42578125" style="1" hidden="1"/>
  </cols>
  <sheetData>
    <row r="1" spans="1:26" ht="18.75" customHeight="1" x14ac:dyDescent="0.2">
      <c r="A1" s="312"/>
      <c r="B1" s="312"/>
      <c r="C1" s="312"/>
      <c r="D1" s="312"/>
      <c r="E1" s="313" t="s">
        <v>0</v>
      </c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5"/>
    </row>
    <row r="2" spans="1:26" ht="13.5" customHeight="1" x14ac:dyDescent="0.2">
      <c r="A2" s="312"/>
      <c r="B2" s="312"/>
      <c r="C2" s="312"/>
      <c r="D2" s="312"/>
      <c r="E2" s="316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8"/>
    </row>
    <row r="3" spans="1:26" ht="13.5" customHeight="1" x14ac:dyDescent="0.2">
      <c r="A3" s="312"/>
      <c r="B3" s="312"/>
      <c r="C3" s="312"/>
      <c r="D3" s="312"/>
      <c r="E3" s="319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1"/>
    </row>
    <row r="4" spans="1:26" x14ac:dyDescent="0.2">
      <c r="A4" s="324" t="s">
        <v>30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</row>
    <row r="5" spans="1:26" x14ac:dyDescent="0.2">
      <c r="A5" s="324" t="s">
        <v>117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</row>
    <row r="6" spans="1:26" x14ac:dyDescent="0.2">
      <c r="A6" s="324" t="s">
        <v>440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</row>
    <row r="7" spans="1:26" ht="15.75" customHeight="1" x14ac:dyDescent="0.2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</row>
    <row r="8" spans="1:26" ht="15.75" customHeight="1" x14ac:dyDescent="0.2">
      <c r="A8" s="322" t="s">
        <v>2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05" t="s">
        <v>3</v>
      </c>
      <c r="P8" s="305"/>
      <c r="Q8" s="305"/>
      <c r="R8" s="305"/>
      <c r="S8" s="135"/>
      <c r="T8" s="135"/>
      <c r="U8" s="135"/>
      <c r="V8" s="308" t="s">
        <v>4</v>
      </c>
      <c r="W8" s="308"/>
      <c r="X8" s="308"/>
      <c r="Y8" s="308"/>
      <c r="Z8" s="13"/>
    </row>
    <row r="9" spans="1:26" ht="11.25" customHeight="1" x14ac:dyDescent="0.2">
      <c r="A9" s="305" t="s">
        <v>141</v>
      </c>
      <c r="B9" s="305" t="s">
        <v>397</v>
      </c>
      <c r="C9" s="307" t="s">
        <v>6</v>
      </c>
      <c r="D9" s="305" t="s">
        <v>7</v>
      </c>
      <c r="E9" s="305"/>
      <c r="F9" s="307" t="s">
        <v>6</v>
      </c>
      <c r="G9" s="305" t="s">
        <v>8</v>
      </c>
      <c r="H9" s="305" t="s">
        <v>9</v>
      </c>
      <c r="I9" s="305"/>
      <c r="J9" s="305"/>
      <c r="K9" s="305"/>
      <c r="L9" s="305"/>
      <c r="M9" s="305"/>
      <c r="N9" s="307" t="s">
        <v>6</v>
      </c>
      <c r="O9" s="291" t="s">
        <v>406</v>
      </c>
      <c r="P9" s="291" t="s">
        <v>419</v>
      </c>
      <c r="Q9" s="291" t="s">
        <v>420</v>
      </c>
      <c r="R9" s="291" t="s">
        <v>421</v>
      </c>
      <c r="S9" s="307" t="s">
        <v>10</v>
      </c>
      <c r="T9" s="307" t="s">
        <v>11</v>
      </c>
      <c r="U9" s="307" t="s">
        <v>12</v>
      </c>
      <c r="V9" s="291" t="s">
        <v>13</v>
      </c>
      <c r="W9" s="291" t="s">
        <v>14</v>
      </c>
      <c r="X9" s="291" t="s">
        <v>15</v>
      </c>
      <c r="Y9" s="291" t="s">
        <v>16</v>
      </c>
    </row>
    <row r="10" spans="1:26" ht="43.5" customHeight="1" x14ac:dyDescent="0.2">
      <c r="A10" s="305"/>
      <c r="B10" s="305"/>
      <c r="C10" s="307"/>
      <c r="D10" s="305"/>
      <c r="E10" s="305"/>
      <c r="F10" s="307"/>
      <c r="G10" s="305"/>
      <c r="H10" s="135" t="s">
        <v>49</v>
      </c>
      <c r="I10" s="144" t="s">
        <v>48</v>
      </c>
      <c r="J10" s="144" t="s">
        <v>53</v>
      </c>
      <c r="K10" s="135" t="s">
        <v>37</v>
      </c>
      <c r="L10" s="144" t="s">
        <v>54</v>
      </c>
      <c r="M10" s="144" t="s">
        <v>58</v>
      </c>
      <c r="N10" s="307"/>
      <c r="O10" s="291"/>
      <c r="P10" s="291"/>
      <c r="Q10" s="291"/>
      <c r="R10" s="291"/>
      <c r="S10" s="307"/>
      <c r="T10" s="307"/>
      <c r="U10" s="307"/>
      <c r="V10" s="292"/>
      <c r="W10" s="291"/>
      <c r="X10" s="292"/>
      <c r="Y10" s="292"/>
    </row>
    <row r="11" spans="1:26" ht="12.75" customHeight="1" x14ac:dyDescent="0.2">
      <c r="A11" s="293" t="s">
        <v>227</v>
      </c>
      <c r="B11" s="293"/>
      <c r="C11" s="293"/>
      <c r="D11" s="293"/>
      <c r="E11" s="293"/>
      <c r="F11" s="293"/>
      <c r="G11" s="293"/>
      <c r="H11" s="375" t="s">
        <v>229</v>
      </c>
      <c r="I11" s="303" t="s">
        <v>228</v>
      </c>
      <c r="J11" s="430" t="s">
        <v>41</v>
      </c>
      <c r="K11" s="303" t="s">
        <v>230</v>
      </c>
      <c r="L11" s="430" t="s">
        <v>36</v>
      </c>
      <c r="M11" s="428">
        <v>427000000</v>
      </c>
      <c r="N11" s="336">
        <v>0.08</v>
      </c>
      <c r="O11" s="428"/>
      <c r="P11" s="428"/>
      <c r="Q11" s="428"/>
      <c r="R11" s="428"/>
      <c r="S11" s="426">
        <f>SUM(O11:R12)/M11</f>
        <v>0</v>
      </c>
      <c r="T11" s="419">
        <f>IF(S11&lt;=100%,S11*N11,N11)</f>
        <v>0</v>
      </c>
      <c r="U11" s="326">
        <f>+(T11/9)*100</f>
        <v>0</v>
      </c>
      <c r="V11" s="329"/>
      <c r="W11" s="329"/>
      <c r="X11" s="329"/>
      <c r="Y11" s="329"/>
    </row>
    <row r="12" spans="1:26" ht="124.5" customHeight="1" x14ac:dyDescent="0.2">
      <c r="A12" s="303" t="s">
        <v>132</v>
      </c>
      <c r="B12" s="351" t="s">
        <v>19</v>
      </c>
      <c r="C12" s="336">
        <f>+SUM(F12:F13)</f>
        <v>0.09</v>
      </c>
      <c r="D12" s="332" t="s">
        <v>387</v>
      </c>
      <c r="E12" s="333"/>
      <c r="F12" s="137">
        <f>+N11</f>
        <v>0.08</v>
      </c>
      <c r="G12" s="134" t="s">
        <v>31</v>
      </c>
      <c r="H12" s="376"/>
      <c r="I12" s="304"/>
      <c r="J12" s="431"/>
      <c r="K12" s="304"/>
      <c r="L12" s="431"/>
      <c r="M12" s="429"/>
      <c r="N12" s="338"/>
      <c r="O12" s="429"/>
      <c r="P12" s="429"/>
      <c r="Q12" s="429"/>
      <c r="R12" s="429"/>
      <c r="S12" s="427"/>
      <c r="T12" s="420"/>
      <c r="U12" s="327"/>
      <c r="V12" s="330"/>
      <c r="W12" s="330"/>
      <c r="X12" s="330"/>
      <c r="Y12" s="330"/>
    </row>
    <row r="13" spans="1:26" ht="72" customHeight="1" x14ac:dyDescent="0.2">
      <c r="A13" s="350"/>
      <c r="B13" s="352"/>
      <c r="C13" s="337"/>
      <c r="D13" s="294" t="s">
        <v>32</v>
      </c>
      <c r="E13" s="294"/>
      <c r="F13" s="140">
        <f>+N13</f>
        <v>0.01</v>
      </c>
      <c r="G13" s="134" t="s">
        <v>31</v>
      </c>
      <c r="H13" s="134" t="s">
        <v>65</v>
      </c>
      <c r="I13" s="134" t="s">
        <v>388</v>
      </c>
      <c r="J13" s="134" t="s">
        <v>41</v>
      </c>
      <c r="K13" s="134" t="s">
        <v>33</v>
      </c>
      <c r="L13" s="134" t="s">
        <v>36</v>
      </c>
      <c r="M13" s="141">
        <v>8500</v>
      </c>
      <c r="N13" s="137">
        <v>0.01</v>
      </c>
      <c r="O13" s="141"/>
      <c r="P13" s="158"/>
      <c r="Q13" s="199"/>
      <c r="R13" s="225"/>
      <c r="S13" s="139">
        <f>SUM(O13:R13)/M13</f>
        <v>0</v>
      </c>
      <c r="T13" s="136">
        <f>IF(S13&lt;=100%,S13*N13,N13)</f>
        <v>0</v>
      </c>
      <c r="U13" s="136">
        <f>(T13/9)*100</f>
        <v>0</v>
      </c>
      <c r="V13" s="278"/>
      <c r="W13" s="156"/>
      <c r="X13" s="31"/>
      <c r="Y13" s="222"/>
    </row>
    <row r="14" spans="1:26" ht="16.5" customHeight="1" x14ac:dyDescent="0.2">
      <c r="A14" s="331" t="s">
        <v>18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62">
        <f>SUM(U11:U13)</f>
        <v>0</v>
      </c>
      <c r="V14" s="290"/>
      <c r="W14" s="290"/>
      <c r="X14" s="290"/>
      <c r="Y14" s="290"/>
    </row>
    <row r="15" spans="1:26" x14ac:dyDescent="0.2">
      <c r="U15" s="13"/>
    </row>
    <row r="16" spans="1:26" ht="38.25" customHeight="1" x14ac:dyDescent="0.2">
      <c r="F16" s="165">
        <f>+F13+F12</f>
        <v>0.09</v>
      </c>
      <c r="P16" s="248"/>
      <c r="Q16" s="248"/>
      <c r="R16" s="248"/>
      <c r="Y16" s="132" t="s">
        <v>344</v>
      </c>
    </row>
    <row r="23" spans="2:21" x14ac:dyDescent="0.2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2:21" x14ac:dyDescent="0.2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2:21" x14ac:dyDescent="0.2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2:21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2:21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2:21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</sheetData>
  <mergeCells count="54">
    <mergeCell ref="A8:N8"/>
    <mergeCell ref="O8:R8"/>
    <mergeCell ref="V8:Y8"/>
    <mergeCell ref="A7:Y7"/>
    <mergeCell ref="R9:R10"/>
    <mergeCell ref="F9:F10"/>
    <mergeCell ref="H9:M9"/>
    <mergeCell ref="N9:N10"/>
    <mergeCell ref="O9:O10"/>
    <mergeCell ref="P9:P10"/>
    <mergeCell ref="A4:Y4"/>
    <mergeCell ref="A1:D3"/>
    <mergeCell ref="E1:Y3"/>
    <mergeCell ref="A5:Y5"/>
    <mergeCell ref="A6:Y6"/>
    <mergeCell ref="A14:T14"/>
    <mergeCell ref="V14:Y14"/>
    <mergeCell ref="Y9:Y10"/>
    <mergeCell ref="D13:E13"/>
    <mergeCell ref="S9:S10"/>
    <mergeCell ref="T9:T10"/>
    <mergeCell ref="U9:U10"/>
    <mergeCell ref="V9:V10"/>
    <mergeCell ref="W9:W10"/>
    <mergeCell ref="X9:X10"/>
    <mergeCell ref="Q9:Q10"/>
    <mergeCell ref="G9:G10"/>
    <mergeCell ref="A9:A10"/>
    <mergeCell ref="B9:B10"/>
    <mergeCell ref="C9:C10"/>
    <mergeCell ref="D9:E10"/>
    <mergeCell ref="A12:A13"/>
    <mergeCell ref="B12:B13"/>
    <mergeCell ref="D12:E12"/>
    <mergeCell ref="A11:G11"/>
    <mergeCell ref="J11:J12"/>
    <mergeCell ref="I11:I12"/>
    <mergeCell ref="H11:H12"/>
    <mergeCell ref="X11:X12"/>
    <mergeCell ref="Y11:Y12"/>
    <mergeCell ref="C12:C13"/>
    <mergeCell ref="S11:S12"/>
    <mergeCell ref="T11:T12"/>
    <mergeCell ref="V11:V12"/>
    <mergeCell ref="W11:W12"/>
    <mergeCell ref="P11:P12"/>
    <mergeCell ref="Q11:Q12"/>
    <mergeCell ref="R11:R12"/>
    <mergeCell ref="N11:N12"/>
    <mergeCell ref="O11:O12"/>
    <mergeCell ref="U11:U12"/>
    <mergeCell ref="M11:M12"/>
    <mergeCell ref="L11:L12"/>
    <mergeCell ref="K11:K12"/>
  </mergeCells>
  <pageMargins left="0.70866141732283472" right="0.70866141732283472" top="0.74803149606299213" bottom="0.74803149606299213" header="0.31496062992125984" footer="0.31496062992125984"/>
  <pageSetup paperSize="133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Y24"/>
  <sheetViews>
    <sheetView showGridLines="0" topLeftCell="F11" zoomScale="70" zoomScaleNormal="70" workbookViewId="0">
      <selection activeCell="V11" sqref="V11:V21"/>
    </sheetView>
  </sheetViews>
  <sheetFormatPr baseColWidth="10" defaultRowHeight="12.75" x14ac:dyDescent="0.2"/>
  <cols>
    <col min="1" max="1" width="19.7109375" style="23" customWidth="1"/>
    <col min="2" max="2" width="19.42578125" style="12" customWidth="1"/>
    <col min="3" max="3" width="10.42578125" style="12" customWidth="1"/>
    <col min="4" max="4" width="16.5703125" style="12" customWidth="1"/>
    <col min="5" max="5" width="19.7109375" style="12" customWidth="1"/>
    <col min="6" max="6" width="10.140625" style="12" customWidth="1"/>
    <col min="7" max="7" width="14.7109375" style="23" customWidth="1"/>
    <col min="8" max="8" width="21" style="12" customWidth="1"/>
    <col min="9" max="9" width="23.7109375" style="12" customWidth="1"/>
    <col min="10" max="10" width="10.7109375" style="12" customWidth="1"/>
    <col min="11" max="11" width="25.42578125" style="12" customWidth="1"/>
    <col min="12" max="12" width="12.42578125" style="12" customWidth="1"/>
    <col min="13" max="13" width="13.42578125" style="12" customWidth="1"/>
    <col min="14" max="14" width="10.28515625" style="12" customWidth="1"/>
    <col min="15" max="15" width="13.42578125" style="12" customWidth="1"/>
    <col min="16" max="16" width="13.7109375" style="12" customWidth="1"/>
    <col min="17" max="17" width="13.42578125" style="12" customWidth="1"/>
    <col min="18" max="18" width="14" style="12" customWidth="1"/>
    <col min="19" max="19" width="13" style="23" customWidth="1"/>
    <col min="20" max="20" width="14.85546875" style="23" customWidth="1"/>
    <col min="21" max="21" width="12.42578125" style="23" customWidth="1"/>
    <col min="22" max="22" width="64.7109375" style="153" customWidth="1"/>
    <col min="23" max="25" width="38.140625" style="12" customWidth="1"/>
    <col min="26" max="16384" width="11.42578125" style="12"/>
  </cols>
  <sheetData>
    <row r="1" spans="1:25" ht="13.5" customHeight="1" x14ac:dyDescent="0.2">
      <c r="A1" s="434" t="s">
        <v>143</v>
      </c>
      <c r="B1" s="434"/>
      <c r="C1" s="434"/>
      <c r="D1" s="434"/>
      <c r="E1" s="313" t="s">
        <v>0</v>
      </c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5"/>
    </row>
    <row r="2" spans="1:25" ht="13.5" customHeight="1" x14ac:dyDescent="0.2">
      <c r="A2" s="434"/>
      <c r="B2" s="434"/>
      <c r="C2" s="434"/>
      <c r="D2" s="434"/>
      <c r="E2" s="316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8"/>
    </row>
    <row r="3" spans="1:25" ht="13.5" customHeight="1" x14ac:dyDescent="0.2">
      <c r="A3" s="434"/>
      <c r="B3" s="434"/>
      <c r="C3" s="434"/>
      <c r="D3" s="434"/>
      <c r="E3" s="319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1"/>
    </row>
    <row r="4" spans="1:25" x14ac:dyDescent="0.2">
      <c r="A4" s="324" t="s">
        <v>102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</row>
    <row r="5" spans="1:25" x14ac:dyDescent="0.2">
      <c r="A5" s="324" t="s">
        <v>128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 t="e">
        <f>SUM(#REF!)</f>
        <v>#REF!</v>
      </c>
      <c r="W5" s="324"/>
      <c r="X5" s="324"/>
      <c r="Y5" s="324"/>
    </row>
    <row r="6" spans="1:25" x14ac:dyDescent="0.2">
      <c r="A6" s="324" t="s">
        <v>440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 t="e">
        <f>SUM(#REF!)</f>
        <v>#REF!</v>
      </c>
      <c r="W6" s="324"/>
      <c r="X6" s="324"/>
      <c r="Y6" s="324"/>
    </row>
    <row r="7" spans="1:25" x14ac:dyDescent="0.2">
      <c r="A7" s="309"/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1"/>
    </row>
    <row r="8" spans="1:25" x14ac:dyDescent="0.2">
      <c r="A8" s="322" t="s">
        <v>2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05" t="s">
        <v>3</v>
      </c>
      <c r="P8" s="305"/>
      <c r="Q8" s="305"/>
      <c r="R8" s="305"/>
      <c r="S8" s="73"/>
      <c r="T8" s="73"/>
      <c r="U8" s="73"/>
      <c r="V8" s="308" t="s">
        <v>4</v>
      </c>
      <c r="W8" s="308"/>
      <c r="X8" s="308"/>
      <c r="Y8" s="308"/>
    </row>
    <row r="9" spans="1:25" ht="12.75" customHeight="1" x14ac:dyDescent="0.2">
      <c r="A9" s="305" t="s">
        <v>141</v>
      </c>
      <c r="B9" s="305" t="s">
        <v>5</v>
      </c>
      <c r="C9" s="307" t="s">
        <v>6</v>
      </c>
      <c r="D9" s="305" t="s">
        <v>7</v>
      </c>
      <c r="E9" s="305"/>
      <c r="F9" s="307" t="s">
        <v>6</v>
      </c>
      <c r="G9" s="305" t="s">
        <v>8</v>
      </c>
      <c r="H9" s="400" t="s">
        <v>47</v>
      </c>
      <c r="I9" s="400"/>
      <c r="J9" s="400"/>
      <c r="K9" s="400"/>
      <c r="L9" s="400"/>
      <c r="M9" s="400"/>
      <c r="N9" s="307" t="s">
        <v>6</v>
      </c>
      <c r="O9" s="291" t="s">
        <v>406</v>
      </c>
      <c r="P9" s="291" t="s">
        <v>419</v>
      </c>
      <c r="Q9" s="291" t="s">
        <v>420</v>
      </c>
      <c r="R9" s="291" t="s">
        <v>421</v>
      </c>
      <c r="S9" s="307" t="s">
        <v>10</v>
      </c>
      <c r="T9" s="307" t="s">
        <v>11</v>
      </c>
      <c r="U9" s="307" t="s">
        <v>12</v>
      </c>
      <c r="V9" s="435" t="s">
        <v>13</v>
      </c>
      <c r="W9" s="291" t="s">
        <v>14</v>
      </c>
      <c r="X9" s="291" t="s">
        <v>15</v>
      </c>
      <c r="Y9" s="291" t="s">
        <v>16</v>
      </c>
    </row>
    <row r="10" spans="1:25" ht="57.75" customHeight="1" x14ac:dyDescent="0.2">
      <c r="A10" s="305"/>
      <c r="B10" s="305"/>
      <c r="C10" s="307"/>
      <c r="D10" s="305"/>
      <c r="E10" s="305"/>
      <c r="F10" s="307"/>
      <c r="G10" s="305"/>
      <c r="H10" s="46" t="s">
        <v>49</v>
      </c>
      <c r="I10" s="76" t="s">
        <v>48</v>
      </c>
      <c r="J10" s="76" t="s">
        <v>53</v>
      </c>
      <c r="K10" s="46" t="s">
        <v>37</v>
      </c>
      <c r="L10" s="76" t="s">
        <v>54</v>
      </c>
      <c r="M10" s="76" t="s">
        <v>84</v>
      </c>
      <c r="N10" s="307"/>
      <c r="O10" s="291"/>
      <c r="P10" s="291"/>
      <c r="Q10" s="291"/>
      <c r="R10" s="291"/>
      <c r="S10" s="307"/>
      <c r="T10" s="307"/>
      <c r="U10" s="307"/>
      <c r="V10" s="415"/>
      <c r="W10" s="291"/>
      <c r="X10" s="292"/>
      <c r="Y10" s="292"/>
    </row>
    <row r="11" spans="1:25" s="1" customFormat="1" x14ac:dyDescent="0.2">
      <c r="A11" s="293" t="s">
        <v>316</v>
      </c>
      <c r="B11" s="293"/>
      <c r="C11" s="293"/>
      <c r="D11" s="293"/>
      <c r="E11" s="293"/>
      <c r="F11" s="293"/>
      <c r="G11" s="293"/>
      <c r="H11" s="294" t="s">
        <v>289</v>
      </c>
      <c r="I11" s="294" t="s">
        <v>290</v>
      </c>
      <c r="J11" s="294" t="s">
        <v>55</v>
      </c>
      <c r="K11" s="294" t="s">
        <v>291</v>
      </c>
      <c r="L11" s="294" t="s">
        <v>36</v>
      </c>
      <c r="M11" s="433">
        <v>1</v>
      </c>
      <c r="N11" s="297">
        <v>1E-3</v>
      </c>
      <c r="O11" s="433"/>
      <c r="P11" s="433"/>
      <c r="Q11" s="433"/>
      <c r="R11" s="433"/>
      <c r="S11" s="306">
        <f>SUM(O11:R12)/M11</f>
        <v>0</v>
      </c>
      <c r="T11" s="419">
        <f>IF(S11&lt;=100%,S11*N11,N11)</f>
        <v>0</v>
      </c>
      <c r="U11" s="426">
        <f>+(T11/2.3)*100</f>
        <v>0</v>
      </c>
      <c r="V11" s="329"/>
      <c r="W11" s="398"/>
      <c r="X11" s="398"/>
      <c r="Y11" s="398"/>
    </row>
    <row r="12" spans="1:25" s="1" customFormat="1" ht="74.25" customHeight="1" x14ac:dyDescent="0.2">
      <c r="A12" s="294" t="str">
        <f>+'Plan de desarrollo'!B4</f>
        <v>DIMENSIÓN 1: Creemos en la cultura ciudadana</v>
      </c>
      <c r="B12" s="294" t="str">
        <f>+'Objetivos Estratégicos'!B8</f>
        <v xml:space="preserve">Aumentar el nivel de desempeño individual y colectivo, mediante el desarrollo de competencias. </v>
      </c>
      <c r="C12" s="440">
        <f>SUM(F12:F14)</f>
        <v>3.0000000000000001E-3</v>
      </c>
      <c r="D12" s="294" t="s">
        <v>314</v>
      </c>
      <c r="E12" s="294"/>
      <c r="F12" s="72">
        <f>+N11</f>
        <v>1E-3</v>
      </c>
      <c r="G12" s="69" t="s">
        <v>296</v>
      </c>
      <c r="H12" s="295"/>
      <c r="I12" s="295"/>
      <c r="J12" s="432"/>
      <c r="K12" s="295"/>
      <c r="L12" s="295"/>
      <c r="M12" s="433"/>
      <c r="N12" s="295"/>
      <c r="O12" s="433"/>
      <c r="P12" s="433"/>
      <c r="Q12" s="433"/>
      <c r="R12" s="433"/>
      <c r="S12" s="306"/>
      <c r="T12" s="420"/>
      <c r="U12" s="427"/>
      <c r="V12" s="330"/>
      <c r="W12" s="398"/>
      <c r="X12" s="398"/>
      <c r="Y12" s="398"/>
    </row>
    <row r="13" spans="1:25" ht="78" customHeight="1" x14ac:dyDescent="0.2">
      <c r="A13" s="294"/>
      <c r="B13" s="294"/>
      <c r="C13" s="440"/>
      <c r="D13" s="294" t="s">
        <v>315</v>
      </c>
      <c r="E13" s="294"/>
      <c r="F13" s="72">
        <f>+N13</f>
        <v>1E-3</v>
      </c>
      <c r="G13" s="69" t="s">
        <v>296</v>
      </c>
      <c r="H13" s="69" t="s">
        <v>293</v>
      </c>
      <c r="I13" s="91" t="s">
        <v>294</v>
      </c>
      <c r="J13" s="91" t="s">
        <v>55</v>
      </c>
      <c r="K13" s="91" t="s">
        <v>295</v>
      </c>
      <c r="L13" s="69" t="s">
        <v>36</v>
      </c>
      <c r="M13" s="83">
        <v>0.9</v>
      </c>
      <c r="N13" s="72">
        <v>1E-3</v>
      </c>
      <c r="O13" s="150"/>
      <c r="P13" s="182"/>
      <c r="Q13" s="212"/>
      <c r="R13" s="232"/>
      <c r="S13" s="72">
        <f>SUM(O13:R13)/M13</f>
        <v>0</v>
      </c>
      <c r="T13" s="72">
        <f>IF(S13&lt;=100%,S13*N13,N13)</f>
        <v>0</v>
      </c>
      <c r="U13" s="72">
        <f>(T13/2.3)*100</f>
        <v>0</v>
      </c>
      <c r="V13" s="171"/>
      <c r="W13" s="171"/>
      <c r="X13" s="171"/>
      <c r="Y13" s="171"/>
    </row>
    <row r="14" spans="1:25" s="1" customFormat="1" ht="60.75" customHeight="1" x14ac:dyDescent="0.2">
      <c r="A14" s="294"/>
      <c r="B14" s="294"/>
      <c r="C14" s="440"/>
      <c r="D14" s="294" t="s">
        <v>317</v>
      </c>
      <c r="E14" s="294"/>
      <c r="F14" s="72">
        <f>+N14</f>
        <v>1E-3</v>
      </c>
      <c r="G14" s="69" t="s">
        <v>296</v>
      </c>
      <c r="H14" s="69" t="s">
        <v>318</v>
      </c>
      <c r="I14" s="2" t="s">
        <v>319</v>
      </c>
      <c r="J14" s="69" t="s">
        <v>41</v>
      </c>
      <c r="K14" s="69" t="s">
        <v>320</v>
      </c>
      <c r="L14" s="69" t="s">
        <v>36</v>
      </c>
      <c r="M14" s="265">
        <v>1</v>
      </c>
      <c r="N14" s="107">
        <v>1E-3</v>
      </c>
      <c r="O14" s="213"/>
      <c r="P14" s="214"/>
      <c r="Q14" s="216"/>
      <c r="R14" s="232"/>
      <c r="S14" s="72">
        <f>SUM(O14:R14)/M14</f>
        <v>0</v>
      </c>
      <c r="T14" s="72">
        <f>IF(S14&lt;=100%,S14*N14,N14)</f>
        <v>0</v>
      </c>
      <c r="U14" s="88">
        <f>(T14/2.3)*100</f>
        <v>0</v>
      </c>
      <c r="V14" s="229"/>
      <c r="W14" s="230"/>
      <c r="X14" s="230"/>
      <c r="Y14" s="230"/>
    </row>
    <row r="15" spans="1:25" ht="12.75" customHeight="1" x14ac:dyDescent="0.2">
      <c r="A15" s="439" t="s">
        <v>297</v>
      </c>
      <c r="B15" s="439"/>
      <c r="C15" s="439"/>
      <c r="D15" s="439"/>
      <c r="E15" s="439"/>
      <c r="F15" s="439"/>
      <c r="G15" s="439"/>
      <c r="H15" s="294" t="s">
        <v>298</v>
      </c>
      <c r="I15" s="294" t="s">
        <v>299</v>
      </c>
      <c r="J15" s="294" t="s">
        <v>55</v>
      </c>
      <c r="K15" s="294" t="s">
        <v>300</v>
      </c>
      <c r="L15" s="294" t="s">
        <v>36</v>
      </c>
      <c r="M15" s="433">
        <v>0.8</v>
      </c>
      <c r="N15" s="297">
        <v>5.0000000000000001E-3</v>
      </c>
      <c r="O15" s="433"/>
      <c r="P15" s="380"/>
      <c r="Q15" s="380"/>
      <c r="R15" s="437"/>
      <c r="S15" s="297">
        <f>SUM(O15:R16)/M15</f>
        <v>0</v>
      </c>
      <c r="T15" s="336">
        <f>IF(S15&lt;=100%,S15*N15,N15)</f>
        <v>0</v>
      </c>
      <c r="U15" s="336">
        <f>(T15/2.3)*100</f>
        <v>0</v>
      </c>
      <c r="V15" s="402"/>
      <c r="W15" s="402"/>
      <c r="X15" s="402"/>
      <c r="Y15" s="402"/>
    </row>
    <row r="16" spans="1:25" ht="64.5" customHeight="1" x14ac:dyDescent="0.2">
      <c r="A16" s="339" t="str">
        <f>+A12</f>
        <v>DIMENSIÓN 1: Creemos en la cultura ciudadana</v>
      </c>
      <c r="B16" s="340" t="s">
        <v>24</v>
      </c>
      <c r="C16" s="383">
        <v>0.01</v>
      </c>
      <c r="D16" s="294" t="s">
        <v>301</v>
      </c>
      <c r="E16" s="294"/>
      <c r="F16" s="72">
        <v>5.0000000000000001E-3</v>
      </c>
      <c r="G16" s="294" t="s">
        <v>296</v>
      </c>
      <c r="H16" s="294"/>
      <c r="I16" s="294"/>
      <c r="J16" s="294"/>
      <c r="K16" s="294"/>
      <c r="L16" s="294"/>
      <c r="M16" s="433"/>
      <c r="N16" s="297"/>
      <c r="O16" s="433"/>
      <c r="P16" s="380"/>
      <c r="Q16" s="380"/>
      <c r="R16" s="438"/>
      <c r="S16" s="297"/>
      <c r="T16" s="338"/>
      <c r="U16" s="338"/>
      <c r="V16" s="403"/>
      <c r="W16" s="403"/>
      <c r="X16" s="403"/>
      <c r="Y16" s="403"/>
    </row>
    <row r="17" spans="1:25" ht="69" customHeight="1" x14ac:dyDescent="0.2">
      <c r="A17" s="436"/>
      <c r="B17" s="436"/>
      <c r="C17" s="436"/>
      <c r="D17" s="436"/>
      <c r="E17" s="436"/>
      <c r="F17" s="72">
        <v>5.0000000000000001E-3</v>
      </c>
      <c r="G17" s="436"/>
      <c r="H17" s="69" t="s">
        <v>302</v>
      </c>
      <c r="I17" s="69" t="s">
        <v>302</v>
      </c>
      <c r="J17" s="69" t="s">
        <v>55</v>
      </c>
      <c r="K17" s="69" t="s">
        <v>303</v>
      </c>
      <c r="L17" s="69" t="s">
        <v>36</v>
      </c>
      <c r="M17" s="77">
        <v>0.9</v>
      </c>
      <c r="N17" s="72">
        <v>5.0000000000000001E-3</v>
      </c>
      <c r="O17" s="149"/>
      <c r="P17" s="183"/>
      <c r="Q17" s="215"/>
      <c r="R17" s="232"/>
      <c r="S17" s="72">
        <f>SUM(O17:R17)/M17</f>
        <v>0</v>
      </c>
      <c r="T17" s="72">
        <f>IF(S17&lt;=100%,S17*N17,N17)</f>
        <v>0</v>
      </c>
      <c r="U17" s="72">
        <f>(T17/2.3)*100</f>
        <v>0</v>
      </c>
      <c r="V17" s="285"/>
      <c r="W17" s="231"/>
      <c r="X17" s="231"/>
      <c r="Y17" s="231"/>
    </row>
    <row r="18" spans="1:25" ht="12.75" customHeight="1" x14ac:dyDescent="0.2">
      <c r="A18" s="439" t="s">
        <v>304</v>
      </c>
      <c r="B18" s="439"/>
      <c r="C18" s="439"/>
      <c r="D18" s="439"/>
      <c r="E18" s="439"/>
      <c r="F18" s="439"/>
      <c r="G18" s="439"/>
      <c r="H18" s="294" t="s">
        <v>305</v>
      </c>
      <c r="I18" s="294" t="s">
        <v>306</v>
      </c>
      <c r="J18" s="294" t="s">
        <v>55</v>
      </c>
      <c r="K18" s="294" t="s">
        <v>307</v>
      </c>
      <c r="L18" s="294" t="s">
        <v>36</v>
      </c>
      <c r="M18" s="443">
        <v>0.7</v>
      </c>
      <c r="N18" s="297">
        <v>5.0000000000000001E-3</v>
      </c>
      <c r="O18" s="441"/>
      <c r="P18" s="441"/>
      <c r="Q18" s="441"/>
      <c r="R18" s="437"/>
      <c r="S18" s="297">
        <f>SUM(O18:R19)/M18</f>
        <v>0</v>
      </c>
      <c r="T18" s="336">
        <f>IF(S18&lt;=100%,S18*N18,N18)</f>
        <v>0</v>
      </c>
      <c r="U18" s="336">
        <f>(T18/2.3)*100</f>
        <v>0</v>
      </c>
      <c r="V18" s="402"/>
      <c r="W18" s="402"/>
      <c r="X18" s="402"/>
      <c r="Y18" s="402"/>
    </row>
    <row r="19" spans="1:25" ht="132" customHeight="1" x14ac:dyDescent="0.2">
      <c r="A19" s="70" t="str">
        <f>+A16</f>
        <v>DIMENSIÓN 1: Creemos en la cultura ciudadana</v>
      </c>
      <c r="B19" s="71" t="str">
        <f>+B16</f>
        <v xml:space="preserve">Aumentar el nivel de desempeño individual y colectivo, mediante el desarrollo de competencias. </v>
      </c>
      <c r="C19" s="30">
        <f>+F19</f>
        <v>5.0000000000000001E-3</v>
      </c>
      <c r="D19" s="294" t="s">
        <v>308</v>
      </c>
      <c r="E19" s="294"/>
      <c r="F19" s="72">
        <f>+N18</f>
        <v>5.0000000000000001E-3</v>
      </c>
      <c r="G19" s="69" t="s">
        <v>292</v>
      </c>
      <c r="H19" s="294"/>
      <c r="I19" s="294"/>
      <c r="J19" s="294"/>
      <c r="K19" s="294"/>
      <c r="L19" s="294"/>
      <c r="M19" s="443"/>
      <c r="N19" s="297"/>
      <c r="O19" s="441"/>
      <c r="P19" s="441"/>
      <c r="Q19" s="441"/>
      <c r="R19" s="438"/>
      <c r="S19" s="297"/>
      <c r="T19" s="338"/>
      <c r="U19" s="338"/>
      <c r="V19" s="403"/>
      <c r="W19" s="403"/>
      <c r="X19" s="403"/>
      <c r="Y19" s="403"/>
    </row>
    <row r="20" spans="1:25" ht="12.75" customHeight="1" x14ac:dyDescent="0.2">
      <c r="A20" s="439" t="s">
        <v>309</v>
      </c>
      <c r="B20" s="439"/>
      <c r="C20" s="439"/>
      <c r="D20" s="439"/>
      <c r="E20" s="439"/>
      <c r="F20" s="439"/>
      <c r="G20" s="439"/>
      <c r="H20" s="294" t="s">
        <v>310</v>
      </c>
      <c r="I20" s="294" t="s">
        <v>311</v>
      </c>
      <c r="J20" s="294" t="s">
        <v>41</v>
      </c>
      <c r="K20" s="294" t="s">
        <v>312</v>
      </c>
      <c r="L20" s="294" t="s">
        <v>85</v>
      </c>
      <c r="M20" s="443">
        <v>1</v>
      </c>
      <c r="N20" s="297">
        <v>5.0000000000000001E-3</v>
      </c>
      <c r="O20" s="443"/>
      <c r="P20" s="442"/>
      <c r="Q20" s="442"/>
      <c r="R20" s="437"/>
      <c r="S20" s="297">
        <f>SUM(O20:R21)/M20</f>
        <v>0</v>
      </c>
      <c r="T20" s="336">
        <f>IF(S20&lt;=100%,S20*N20,N20)</f>
        <v>0</v>
      </c>
      <c r="U20" s="336">
        <f>(T20/2.3)*100</f>
        <v>0</v>
      </c>
      <c r="V20" s="402"/>
      <c r="W20" s="402"/>
      <c r="X20" s="402"/>
      <c r="Y20" s="402"/>
    </row>
    <row r="21" spans="1:25" ht="75.75" customHeight="1" x14ac:dyDescent="0.2">
      <c r="A21" s="70" t="str">
        <f>+'Plan de desarrollo'!B4</f>
        <v>DIMENSIÓN 1: Creemos en la cultura ciudadana</v>
      </c>
      <c r="B21" s="71" t="s">
        <v>24</v>
      </c>
      <c r="C21" s="30">
        <f>+F21</f>
        <v>5.0000000000000001E-3</v>
      </c>
      <c r="D21" s="294" t="s">
        <v>313</v>
      </c>
      <c r="E21" s="294"/>
      <c r="F21" s="72">
        <f>+N20</f>
        <v>5.0000000000000001E-3</v>
      </c>
      <c r="G21" s="69" t="s">
        <v>292</v>
      </c>
      <c r="H21" s="294"/>
      <c r="I21" s="294"/>
      <c r="J21" s="294"/>
      <c r="K21" s="294"/>
      <c r="L21" s="294"/>
      <c r="M21" s="443"/>
      <c r="N21" s="297"/>
      <c r="O21" s="443"/>
      <c r="P21" s="442"/>
      <c r="Q21" s="294"/>
      <c r="R21" s="438"/>
      <c r="S21" s="297"/>
      <c r="T21" s="338"/>
      <c r="U21" s="338"/>
      <c r="V21" s="403"/>
      <c r="W21" s="403"/>
      <c r="X21" s="403"/>
      <c r="Y21" s="403"/>
    </row>
    <row r="22" spans="1:25" ht="19.5" customHeight="1" x14ac:dyDescent="0.2">
      <c r="A22" s="331" t="s">
        <v>18</v>
      </c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50">
        <f>SUM(U11:U21)</f>
        <v>0</v>
      </c>
      <c r="V22" s="290"/>
      <c r="W22" s="290"/>
      <c r="X22" s="290"/>
      <c r="Y22" s="290"/>
    </row>
    <row r="24" spans="1:25" ht="36" x14ac:dyDescent="0.2">
      <c r="C24" s="21">
        <f>+C12+C16+C19+C21</f>
        <v>2.3000000000000003E-2</v>
      </c>
      <c r="Y24" s="129" t="s">
        <v>344</v>
      </c>
    </row>
  </sheetData>
  <mergeCells count="119">
    <mergeCell ref="P20:P21"/>
    <mergeCell ref="V18:V19"/>
    <mergeCell ref="W18:W19"/>
    <mergeCell ref="X18:X19"/>
    <mergeCell ref="Y18:Y19"/>
    <mergeCell ref="D19:E19"/>
    <mergeCell ref="A18:G18"/>
    <mergeCell ref="H18:H19"/>
    <mergeCell ref="J18:J19"/>
    <mergeCell ref="K18:K19"/>
    <mergeCell ref="L18:L19"/>
    <mergeCell ref="M18:M19"/>
    <mergeCell ref="N18:N19"/>
    <mergeCell ref="O18:O19"/>
    <mergeCell ref="P18:P19"/>
    <mergeCell ref="A22:T22"/>
    <mergeCell ref="E1:Y3"/>
    <mergeCell ref="V20:V21"/>
    <mergeCell ref="W20:W21"/>
    <mergeCell ref="X20:X21"/>
    <mergeCell ref="Y20:Y21"/>
    <mergeCell ref="D21:E21"/>
    <mergeCell ref="A20:G20"/>
    <mergeCell ref="H20:H21"/>
    <mergeCell ref="I20:I21"/>
    <mergeCell ref="J20:J21"/>
    <mergeCell ref="K20:K21"/>
    <mergeCell ref="U20:U21"/>
    <mergeCell ref="L20:L21"/>
    <mergeCell ref="M20:M21"/>
    <mergeCell ref="N20:N21"/>
    <mergeCell ref="O20:O21"/>
    <mergeCell ref="V22:Y22"/>
    <mergeCell ref="D13:E13"/>
    <mergeCell ref="C12:C14"/>
    <mergeCell ref="B12:B14"/>
    <mergeCell ref="A12:A14"/>
    <mergeCell ref="D14:E14"/>
    <mergeCell ref="H15:H16"/>
    <mergeCell ref="I15:I16"/>
    <mergeCell ref="J15:J16"/>
    <mergeCell ref="K15:K16"/>
    <mergeCell ref="L15:L16"/>
    <mergeCell ref="M15:M16"/>
    <mergeCell ref="N15:N16"/>
    <mergeCell ref="Q18:Q19"/>
    <mergeCell ref="R18:R19"/>
    <mergeCell ref="S18:S19"/>
    <mergeCell ref="T18:T19"/>
    <mergeCell ref="U18:U19"/>
    <mergeCell ref="Q20:Q21"/>
    <mergeCell ref="R20:R21"/>
    <mergeCell ref="S20:S21"/>
    <mergeCell ref="T20:T21"/>
    <mergeCell ref="S11:S12"/>
    <mergeCell ref="I18:I19"/>
    <mergeCell ref="A7:Y7"/>
    <mergeCell ref="G16:G17"/>
    <mergeCell ref="Q15:Q16"/>
    <mergeCell ref="R15:R16"/>
    <mergeCell ref="S15:S16"/>
    <mergeCell ref="T15:T16"/>
    <mergeCell ref="U15:U16"/>
    <mergeCell ref="O15:O16"/>
    <mergeCell ref="P15:P16"/>
    <mergeCell ref="A15:G15"/>
    <mergeCell ref="A16:A17"/>
    <mergeCell ref="B16:B17"/>
    <mergeCell ref="C16:C17"/>
    <mergeCell ref="D16:E17"/>
    <mergeCell ref="U11:U12"/>
    <mergeCell ref="V11:V12"/>
    <mergeCell ref="W11:W12"/>
    <mergeCell ref="X11:X12"/>
    <mergeCell ref="V15:V16"/>
    <mergeCell ref="W15:W16"/>
    <mergeCell ref="X15:X16"/>
    <mergeCell ref="Y15:Y16"/>
    <mergeCell ref="Y11:Y12"/>
    <mergeCell ref="T11:T12"/>
    <mergeCell ref="A1:D3"/>
    <mergeCell ref="V9:V10"/>
    <mergeCell ref="W9:W10"/>
    <mergeCell ref="X9:X10"/>
    <mergeCell ref="H9:M9"/>
    <mergeCell ref="N9:N10"/>
    <mergeCell ref="O9:O10"/>
    <mergeCell ref="P9:P10"/>
    <mergeCell ref="Q9:Q10"/>
    <mergeCell ref="R9:R10"/>
    <mergeCell ref="A4:Y4"/>
    <mergeCell ref="C9:C10"/>
    <mergeCell ref="D9:E10"/>
    <mergeCell ref="F9:F10"/>
    <mergeCell ref="G9:G10"/>
    <mergeCell ref="A5:Y5"/>
    <mergeCell ref="A6:Y6"/>
    <mergeCell ref="A8:N8"/>
    <mergeCell ref="O8:R8"/>
    <mergeCell ref="V8:Y8"/>
    <mergeCell ref="A9:A10"/>
    <mergeCell ref="B9:B10"/>
    <mergeCell ref="Y9:Y10"/>
    <mergeCell ref="S9:S10"/>
    <mergeCell ref="T9:T10"/>
    <mergeCell ref="U9:U10"/>
    <mergeCell ref="A11:G11"/>
    <mergeCell ref="H11:H12"/>
    <mergeCell ref="I11:I12"/>
    <mergeCell ref="J11:J12"/>
    <mergeCell ref="K11:K12"/>
    <mergeCell ref="O11:O12"/>
    <mergeCell ref="P11:P12"/>
    <mergeCell ref="Q11:Q12"/>
    <mergeCell ref="R11:R12"/>
    <mergeCell ref="D12:E12"/>
    <mergeCell ref="L11:L12"/>
    <mergeCell ref="M11:M12"/>
    <mergeCell ref="N11:N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Plan de desarrollo</vt:lpstr>
      <vt:lpstr>Objetivos Estratégicos</vt:lpstr>
      <vt:lpstr>Gerencia</vt:lpstr>
      <vt:lpstr>Planeación</vt:lpstr>
      <vt:lpstr>G. Programación</vt:lpstr>
      <vt:lpstr>G. Producción</vt:lpstr>
      <vt:lpstr>G. Agencia y Central.</vt:lpstr>
      <vt:lpstr>G. Técnica.</vt:lpstr>
      <vt:lpstr>G. Humana</vt:lpstr>
      <vt:lpstr>G. Jurídica</vt:lpstr>
      <vt:lpstr>G. Adtiva y Fra</vt:lpstr>
      <vt:lpstr>G. Comunicaciones</vt:lpstr>
      <vt:lpstr>G. Control Interno</vt:lpstr>
      <vt:lpstr>'Objetivos Estratégicos'!Área_de_impresión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2016-09-14T20:56:23Z</cp:lastPrinted>
  <dcterms:created xsi:type="dcterms:W3CDTF">2014-02-10T16:24:57Z</dcterms:created>
  <dcterms:modified xsi:type="dcterms:W3CDTF">2018-04-30T13:33:17Z</dcterms:modified>
</cp:coreProperties>
</file>