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9330" tabRatio="596" firstSheet="1" activeTab="1"/>
  </bookViews>
  <sheets>
    <sheet name="Plan de desarrollo" sheetId="5" r:id="rId1"/>
    <sheet name="Objetivos Estratégicos" sheetId="4" r:id="rId2"/>
    <sheet name="Gerencia" sheetId="1" r:id="rId3"/>
    <sheet name="Planeación" sheetId="6" r:id="rId4"/>
    <sheet name="G. Programación" sheetId="34" r:id="rId5"/>
    <sheet name="G. Producción" sheetId="29" r:id="rId6"/>
    <sheet name="G. Agencia y Central." sheetId="33" r:id="rId7"/>
    <sheet name="G. Técnica." sheetId="23" r:id="rId8"/>
    <sheet name="G. Humana" sheetId="28" r:id="rId9"/>
    <sheet name="G. Jurídica" sheetId="25" r:id="rId10"/>
    <sheet name="G. Adtiva y Fra" sheetId="24" r:id="rId11"/>
    <sheet name="G. Control Interno" sheetId="22" r:id="rId12"/>
    <sheet name="G. Comunicaciones" sheetId="35" r:id="rId13"/>
  </sheets>
  <definedNames>
    <definedName name="_xlnm.Print_Area" localSheetId="1">'Objetivos Estratégicos'!$A$1:$D$9</definedName>
  </definedNames>
  <calcPr calcId="162913"/>
</workbook>
</file>

<file path=xl/calcChain.xml><?xml version="1.0" encoding="utf-8"?>
<calcChain xmlns="http://schemas.openxmlformats.org/spreadsheetml/2006/main">
  <c r="P42" i="35" l="1"/>
  <c r="P41" i="35"/>
  <c r="P40" i="35"/>
  <c r="P39" i="35"/>
  <c r="P37" i="35"/>
  <c r="P36" i="35"/>
  <c r="P35" i="35"/>
  <c r="P34" i="35"/>
  <c r="P33" i="35"/>
  <c r="P32" i="35"/>
  <c r="P31" i="35"/>
  <c r="P30" i="35"/>
  <c r="P27" i="35"/>
  <c r="P26" i="35"/>
  <c r="P25" i="35"/>
  <c r="P24" i="35"/>
  <c r="P22" i="35"/>
  <c r="P21" i="35"/>
  <c r="P20" i="35"/>
  <c r="P19" i="35"/>
  <c r="P18" i="35"/>
  <c r="P16" i="35"/>
  <c r="P15" i="35"/>
  <c r="P14" i="35"/>
  <c r="P13" i="35"/>
  <c r="P11" i="35"/>
  <c r="P28" i="35" l="1"/>
  <c r="P11" i="22"/>
  <c r="P19" i="24" l="1"/>
  <c r="P18" i="24"/>
  <c r="P17" i="24"/>
  <c r="P16" i="24"/>
  <c r="P15" i="24"/>
  <c r="P13" i="24"/>
  <c r="P11" i="24"/>
  <c r="Q18" i="25" l="1"/>
  <c r="Q17" i="25"/>
  <c r="Q16" i="25"/>
  <c r="Q15" i="25"/>
  <c r="Q14" i="25"/>
  <c r="Q12" i="25"/>
  <c r="P21" i="28"/>
  <c r="P19" i="28"/>
  <c r="P18" i="28"/>
  <c r="P16" i="28"/>
  <c r="P15" i="28"/>
  <c r="P14" i="28"/>
  <c r="P13" i="28"/>
  <c r="P11" i="28"/>
  <c r="P11" i="23" l="1"/>
  <c r="P13" i="23"/>
  <c r="P20" i="33"/>
  <c r="P19" i="33"/>
  <c r="P18" i="33"/>
  <c r="P17" i="33"/>
  <c r="P16" i="33"/>
  <c r="P15" i="33"/>
  <c r="P14" i="33"/>
  <c r="P13" i="33"/>
  <c r="P11" i="33"/>
  <c r="P17" i="29"/>
  <c r="P15" i="29"/>
  <c r="P13" i="29"/>
  <c r="P11" i="29"/>
  <c r="P22" i="34"/>
  <c r="P20" i="34"/>
  <c r="P52" i="34"/>
  <c r="P51" i="34"/>
  <c r="P50" i="34"/>
  <c r="Q50" i="34" s="1"/>
  <c r="P49" i="34"/>
  <c r="P48" i="34"/>
  <c r="P46" i="34"/>
  <c r="P44" i="34"/>
  <c r="P43" i="34"/>
  <c r="P42" i="34"/>
  <c r="P41" i="34"/>
  <c r="P40" i="34"/>
  <c r="P39" i="34"/>
  <c r="P36" i="34"/>
  <c r="P35" i="34"/>
  <c r="P38" i="34"/>
  <c r="P37" i="34"/>
  <c r="P34" i="34"/>
  <c r="P32" i="34"/>
  <c r="P28" i="34"/>
  <c r="P29" i="34"/>
  <c r="P30" i="34"/>
  <c r="P31" i="34"/>
  <c r="P27" i="34"/>
  <c r="P26" i="34"/>
  <c r="P25" i="34"/>
  <c r="P24" i="34"/>
  <c r="P23" i="34"/>
  <c r="P19" i="34"/>
  <c r="P18" i="34"/>
  <c r="P17" i="34"/>
  <c r="P16" i="34"/>
  <c r="P15" i="34"/>
  <c r="P13" i="34"/>
  <c r="P11" i="34"/>
  <c r="Q11" i="34" s="1"/>
  <c r="P17" i="6" l="1"/>
  <c r="P16" i="6"/>
  <c r="P15" i="6"/>
  <c r="P14" i="6"/>
  <c r="P13" i="6"/>
  <c r="P11" i="6"/>
  <c r="P13" i="1" l="1"/>
  <c r="P11" i="1"/>
  <c r="Q11" i="29" l="1"/>
  <c r="Q42" i="35"/>
  <c r="Q41" i="35"/>
  <c r="Q40" i="35"/>
  <c r="Q39" i="35"/>
  <c r="Q37" i="35"/>
  <c r="Q36" i="35"/>
  <c r="Q35" i="35"/>
  <c r="Q34" i="35"/>
  <c r="Q33" i="35"/>
  <c r="Q32" i="35"/>
  <c r="Q31" i="35"/>
  <c r="Q30" i="35"/>
  <c r="Q28" i="35"/>
  <c r="Q27" i="35"/>
  <c r="Q26" i="35"/>
  <c r="Q25" i="35"/>
  <c r="Q24" i="35"/>
  <c r="Q22" i="35"/>
  <c r="Q21" i="35"/>
  <c r="Q20" i="35"/>
  <c r="Q19" i="35"/>
  <c r="Q18" i="35"/>
  <c r="Q16" i="35"/>
  <c r="Q15" i="35"/>
  <c r="Q13" i="35"/>
  <c r="Q11" i="35"/>
  <c r="Q19" i="33"/>
  <c r="R19" i="33" s="1"/>
  <c r="Q13" i="1"/>
  <c r="R13" i="1" s="1"/>
  <c r="Q11" i="6"/>
  <c r="R11" i="6" s="1"/>
  <c r="F12" i="23"/>
  <c r="Q13" i="24"/>
  <c r="Q13" i="34"/>
  <c r="Q15" i="34"/>
  <c r="Q16" i="34"/>
  <c r="Q17" i="34"/>
  <c r="Q20" i="34"/>
  <c r="Q22" i="34"/>
  <c r="Q23" i="34"/>
  <c r="Q24" i="34"/>
  <c r="Q32" i="34"/>
  <c r="Q34" i="34"/>
  <c r="Q35" i="34"/>
  <c r="Q36" i="34"/>
  <c r="Q18" i="34"/>
  <c r="Q19" i="34"/>
  <c r="R11" i="34"/>
  <c r="Q25" i="34"/>
  <c r="Q26" i="34"/>
  <c r="Q27" i="34"/>
  <c r="Q28" i="34"/>
  <c r="Q29" i="34"/>
  <c r="Q30" i="34"/>
  <c r="Q31" i="34"/>
  <c r="Q37" i="34"/>
  <c r="Q38" i="34"/>
  <c r="Q39" i="34"/>
  <c r="Q40" i="34"/>
  <c r="Q41" i="34"/>
  <c r="Q42" i="34"/>
  <c r="Q43" i="34"/>
  <c r="Q44" i="34"/>
  <c r="R44" i="34" s="1"/>
  <c r="Q46" i="34"/>
  <c r="Q48" i="34"/>
  <c r="Q49" i="34"/>
  <c r="Q51" i="34"/>
  <c r="Q52" i="34"/>
  <c r="F38" i="35"/>
  <c r="C38" i="35" s="1"/>
  <c r="B38" i="35"/>
  <c r="A29" i="35"/>
  <c r="A38" i="35" s="1"/>
  <c r="F29" i="35"/>
  <c r="C29" i="35" s="1"/>
  <c r="B29" i="35"/>
  <c r="F23" i="35"/>
  <c r="C23" i="35" s="1"/>
  <c r="B23" i="35"/>
  <c r="A23" i="35"/>
  <c r="F17" i="35"/>
  <c r="C17" i="35" s="1"/>
  <c r="B17" i="35"/>
  <c r="A17" i="35"/>
  <c r="F12" i="35"/>
  <c r="C12" i="35" s="1"/>
  <c r="B12" i="35"/>
  <c r="A12" i="35"/>
  <c r="Q11" i="22"/>
  <c r="R11" i="22" s="1"/>
  <c r="R12" i="22" s="1"/>
  <c r="D18" i="4" s="1"/>
  <c r="F11" i="22"/>
  <c r="C11" i="22" s="1"/>
  <c r="C14" i="22" s="1"/>
  <c r="B11" i="22"/>
  <c r="N11" i="24"/>
  <c r="Q11" i="24" s="1"/>
  <c r="R11" i="24" s="1"/>
  <c r="Q16" i="24"/>
  <c r="Q15" i="24"/>
  <c r="R15" i="24" s="1"/>
  <c r="Q17" i="24"/>
  <c r="Q18" i="24"/>
  <c r="Q19" i="24"/>
  <c r="F19" i="24"/>
  <c r="F18" i="24"/>
  <c r="B18" i="24"/>
  <c r="F17" i="24"/>
  <c r="C16" i="24" s="1"/>
  <c r="F16" i="24"/>
  <c r="B16" i="24"/>
  <c r="F14" i="24"/>
  <c r="C14" i="24" s="1"/>
  <c r="B14" i="24"/>
  <c r="A14" i="24"/>
  <c r="C12" i="24"/>
  <c r="B12" i="24"/>
  <c r="R12" i="25"/>
  <c r="R14" i="25"/>
  <c r="S14" i="25" s="1"/>
  <c r="R15" i="25"/>
  <c r="S15" i="25" s="1"/>
  <c r="R16" i="25"/>
  <c r="S16" i="25" s="1"/>
  <c r="R17" i="25"/>
  <c r="S17" i="25" s="1"/>
  <c r="R18" i="25"/>
  <c r="S18" i="25" s="1"/>
  <c r="G17" i="25"/>
  <c r="G14" i="25"/>
  <c r="G13" i="25"/>
  <c r="B13" i="25"/>
  <c r="Q11" i="28"/>
  <c r="R11" i="28" s="1"/>
  <c r="Q13" i="28"/>
  <c r="R13" i="28" s="1"/>
  <c r="Q14" i="28"/>
  <c r="R14" i="28" s="1"/>
  <c r="Q15" i="28"/>
  <c r="R15" i="28"/>
  <c r="Q16" i="28"/>
  <c r="R16" i="28" s="1"/>
  <c r="Q18" i="28"/>
  <c r="R18" i="28" s="1"/>
  <c r="Q19" i="28"/>
  <c r="R19" i="28" s="1"/>
  <c r="Q21" i="28"/>
  <c r="R21" i="28" s="1"/>
  <c r="F22" i="28"/>
  <c r="C22" i="28" s="1"/>
  <c r="A22" i="28"/>
  <c r="F20" i="28"/>
  <c r="C20" i="28" s="1"/>
  <c r="B20" i="28"/>
  <c r="A12" i="28"/>
  <c r="A17" i="28"/>
  <c r="A20" i="28" s="1"/>
  <c r="F15" i="28"/>
  <c r="F14" i="28"/>
  <c r="F13" i="28"/>
  <c r="F12" i="28"/>
  <c r="C12" i="28" s="1"/>
  <c r="B12" i="28"/>
  <c r="Q11" i="23"/>
  <c r="R11" i="23" s="1"/>
  <c r="Q13" i="23"/>
  <c r="R13" i="23" s="1"/>
  <c r="F13" i="23"/>
  <c r="F16" i="23" s="1"/>
  <c r="Q11" i="33"/>
  <c r="R11" i="33" s="1"/>
  <c r="Q13" i="33"/>
  <c r="R13" i="33" s="1"/>
  <c r="Q14" i="33"/>
  <c r="R14" i="33" s="1"/>
  <c r="Q15" i="33"/>
  <c r="Q16" i="33"/>
  <c r="R16" i="33" s="1"/>
  <c r="Q17" i="33"/>
  <c r="R17" i="33" s="1"/>
  <c r="Q18" i="33"/>
  <c r="R18" i="33" s="1"/>
  <c r="Q20" i="33"/>
  <c r="F21" i="33"/>
  <c r="C21" i="33" s="1"/>
  <c r="B21" i="33"/>
  <c r="A12" i="33"/>
  <c r="A21" i="33"/>
  <c r="F12" i="33"/>
  <c r="B12" i="33"/>
  <c r="Q17" i="29"/>
  <c r="R17" i="29" s="1"/>
  <c r="R11" i="29"/>
  <c r="Q13" i="29"/>
  <c r="Q15" i="29"/>
  <c r="F17" i="29"/>
  <c r="C17" i="29"/>
  <c r="F15" i="29"/>
  <c r="F13" i="29"/>
  <c r="P12" i="29"/>
  <c r="F12" i="29"/>
  <c r="C12" i="29" s="1"/>
  <c r="C20" i="29" s="1"/>
  <c r="B12" i="29"/>
  <c r="A12" i="29"/>
  <c r="F47" i="34"/>
  <c r="C47" i="34" s="1"/>
  <c r="B47" i="34"/>
  <c r="F45" i="34"/>
  <c r="C45" i="34" s="1"/>
  <c r="B45" i="34"/>
  <c r="F37" i="34"/>
  <c r="C37" i="34" s="1"/>
  <c r="F33" i="34"/>
  <c r="C33" i="34" s="1"/>
  <c r="B33" i="34"/>
  <c r="F25" i="34"/>
  <c r="C25" i="34" s="1"/>
  <c r="F21" i="34"/>
  <c r="C21" i="34" s="1"/>
  <c r="B21" i="34"/>
  <c r="B18" i="34"/>
  <c r="F14" i="34"/>
  <c r="C14" i="34" s="1"/>
  <c r="F12" i="34"/>
  <c r="C12" i="34" s="1"/>
  <c r="Q13" i="6"/>
  <c r="R13" i="6" s="1"/>
  <c r="Q14" i="6"/>
  <c r="R14" i="6" s="1"/>
  <c r="Q15" i="6"/>
  <c r="R15" i="6" s="1"/>
  <c r="Q16" i="6"/>
  <c r="R16" i="6" s="1"/>
  <c r="Q17" i="6"/>
  <c r="R17" i="6" s="1"/>
  <c r="F12" i="6"/>
  <c r="C12" i="6" s="1"/>
  <c r="C20" i="6" s="1"/>
  <c r="B12" i="6"/>
  <c r="A12" i="6"/>
  <c r="Q11" i="1"/>
  <c r="R11" i="1" s="1"/>
  <c r="R14" i="1" s="1"/>
  <c r="D13" i="4" s="1"/>
  <c r="F13" i="1"/>
  <c r="C13" i="1" s="1"/>
  <c r="B13" i="1"/>
  <c r="F12" i="1"/>
  <c r="F16" i="1" s="1"/>
  <c r="B12" i="1"/>
  <c r="A12" i="1"/>
  <c r="C18" i="24"/>
  <c r="C13" i="29"/>
  <c r="C45" i="35" l="1"/>
  <c r="C22" i="24"/>
  <c r="C6" i="4"/>
  <c r="D13" i="25"/>
  <c r="D21" i="25" s="1"/>
  <c r="C25" i="28"/>
  <c r="R23" i="28"/>
  <c r="D16" i="4" s="1"/>
  <c r="C12" i="23"/>
  <c r="R14" i="23"/>
  <c r="D19" i="4" s="1"/>
  <c r="C5" i="4"/>
  <c r="R13" i="29"/>
  <c r="R18" i="29" s="1"/>
  <c r="D21" i="4" s="1"/>
  <c r="C4" i="4"/>
  <c r="C56" i="34"/>
  <c r="R13" i="34"/>
  <c r="R46" i="34"/>
  <c r="R32" i="34"/>
  <c r="R20" i="34"/>
  <c r="R18" i="6"/>
  <c r="D14" i="4" s="1"/>
  <c r="C7" i="4"/>
  <c r="C12" i="1"/>
  <c r="C3" i="4" s="1"/>
  <c r="R16" i="24"/>
  <c r="R13" i="24"/>
  <c r="D6" i="4"/>
  <c r="R37" i="35"/>
  <c r="R28" i="35"/>
  <c r="R22" i="35"/>
  <c r="R16" i="35"/>
  <c r="D7" i="4"/>
  <c r="R20" i="33"/>
  <c r="D5" i="4"/>
  <c r="R15" i="33"/>
  <c r="R37" i="34"/>
  <c r="R25" i="34"/>
  <c r="D4" i="4"/>
  <c r="R18" i="34"/>
  <c r="D8" i="4"/>
  <c r="S12" i="25"/>
  <c r="S19" i="25" s="1"/>
  <c r="D15" i="4" s="1"/>
  <c r="R20" i="24" l="1"/>
  <c r="D22" i="4" s="1"/>
  <c r="C8" i="4"/>
  <c r="C9" i="4" s="1"/>
  <c r="R22" i="33"/>
  <c r="D17" i="4" s="1"/>
  <c r="R53" i="34"/>
  <c r="D23" i="4" s="1"/>
  <c r="Q14" i="35"/>
  <c r="R11" i="35" s="1"/>
  <c r="R43" i="35" s="1"/>
  <c r="D20" i="4" s="1"/>
  <c r="D3" i="4" l="1"/>
  <c r="D9" i="4" s="1"/>
</calcChain>
</file>

<file path=xl/sharedStrings.xml><?xml version="1.0" encoding="utf-8"?>
<sst xmlns="http://schemas.openxmlformats.org/spreadsheetml/2006/main" count="1137" uniqueCount="560">
  <si>
    <t>ELABORACIÓN Y SEGUIMIENTO DEL PLAN DE ACCIÓN</t>
  </si>
  <si>
    <t>PROCESO: Gerencia</t>
  </si>
  <si>
    <t>FORMULACIÓN</t>
  </si>
  <si>
    <t>OBJETIVO ESTRATEGICO</t>
  </si>
  <si>
    <t>PONDERACIÓN</t>
  </si>
  <si>
    <t>ACTIVIDADES</t>
  </si>
  <si>
    <t>RESPONSABLE</t>
  </si>
  <si>
    <t>METAS</t>
  </si>
  <si>
    <t>Valor alcanzado - promedio</t>
  </si>
  <si>
    <t>Ponderación parcial</t>
  </si>
  <si>
    <t>Total ponderado</t>
  </si>
  <si>
    <t>Gerente</t>
  </si>
  <si>
    <t>EVALUACIÓN TOTAL DEL SEGUIMIENTO</t>
  </si>
  <si>
    <t xml:space="preserve">Elevar la capacidad de innovación, calidad técnica y audio visual en la producción, programación y distribución de los contenidos a través de las distintas plataformas. </t>
  </si>
  <si>
    <t>PLANEACIÓN ESTRATÉGICA TELEMEDELLÍN</t>
  </si>
  <si>
    <t>#</t>
  </si>
  <si>
    <t xml:space="preserve">Administrar y optimizar eficientemente los recursos financieros acorde con las expectativas de los asociados. </t>
  </si>
  <si>
    <t xml:space="preserve">Incrementar el nivel de eficiencia y eficacia operativa y administrativa en la gestión y ejecución de los procesos. </t>
  </si>
  <si>
    <t xml:space="preserve">Aumentar el nivel de desempeño individual y colectivo, mediante el desarrollo de competencias. </t>
  </si>
  <si>
    <t>TOTAL</t>
  </si>
  <si>
    <t xml:space="preserve">Elevar el nivel de competitividad y posicionamiento del Canal como plataforma de contenidos formativos, Informativos y culturales. </t>
  </si>
  <si>
    <t>PROGRAMA</t>
  </si>
  <si>
    <t>PROCESO: Planeación Estratégica</t>
  </si>
  <si>
    <t>Efectividad en la proyección y soporte administrativo.</t>
  </si>
  <si>
    <t>PROCESO: Gestión Técnica</t>
  </si>
  <si>
    <t>Director Técnico</t>
  </si>
  <si>
    <t xml:space="preserve">Garantizar la calidad y tiempo  de la señal de aire y en satélite. </t>
  </si>
  <si>
    <t>Horas</t>
  </si>
  <si>
    <t>PROCESO: Evaluación y Control</t>
  </si>
  <si>
    <t>Jefe de Control Interno</t>
  </si>
  <si>
    <t>Trimestral</t>
  </si>
  <si>
    <t>Fórmula</t>
  </si>
  <si>
    <t>Efectividad</t>
  </si>
  <si>
    <t>Proyección y soporte administrativo.</t>
  </si>
  <si>
    <t>Gestión</t>
  </si>
  <si>
    <t>Eficiencia</t>
  </si>
  <si>
    <t>PROCESO: GESTIÓN JURÍDICA</t>
  </si>
  <si>
    <t>Garantizar el proceso contractual en sus diferentes etapas con sujeción a la ley y a los principios de transparencia</t>
  </si>
  <si>
    <t>Secretaria General</t>
  </si>
  <si>
    <t>Elaboración de pliegos</t>
  </si>
  <si>
    <t>Emitir conceptos jurídicos confiables y oportunos</t>
  </si>
  <si>
    <t>INDICADORES</t>
  </si>
  <si>
    <t>Objetivo del indicador</t>
  </si>
  <si>
    <t>Nombre indicador</t>
  </si>
  <si>
    <t>Control de contratos</t>
  </si>
  <si>
    <t>Ejecución comité de contratación</t>
  </si>
  <si>
    <t>Responder eficientemente a la elaboración de pliegos solicitada por la dirección de Telemedellín</t>
  </si>
  <si>
    <t>Mide</t>
  </si>
  <si>
    <t>Periodicidad</t>
  </si>
  <si>
    <t>Eficacia</t>
  </si>
  <si>
    <t>Mensual</t>
  </si>
  <si>
    <t>Responder eficazmente a las demandas interpuestas a Telemedellín</t>
  </si>
  <si>
    <t>Meta</t>
  </si>
  <si>
    <t># de derechos de petición y tutelas respondidas a tiempo / # derechos de petición y tutelas presentadas</t>
  </si>
  <si>
    <t>Responder eficazmente a las derechos de petición y tutelas interpuestas a Telemedellín</t>
  </si>
  <si>
    <t>Respuesta de derechos de petición y tutelas</t>
  </si>
  <si>
    <t>Respuesta de demandas</t>
  </si>
  <si>
    <t xml:space="preserve">Asegurar franjas competitivas y programas ancla que soporten la propuesta de valor.
</t>
  </si>
  <si>
    <t>Señal Satelital</t>
  </si>
  <si>
    <t>PROCESO: Gestión Producción</t>
  </si>
  <si>
    <t>Meta
Anual</t>
  </si>
  <si>
    <t>Horas mensuales de programación</t>
  </si>
  <si>
    <t>Director de Programación</t>
  </si>
  <si>
    <t>Anual</t>
  </si>
  <si>
    <t>Director de Producción</t>
  </si>
  <si>
    <t>Medir la producción del Canal  con base en la capacidad instalada existente de horas cámaras.</t>
  </si>
  <si>
    <t>Medir la operación de la postproducción del Canal con base en la capacidad instalada existente de horas edición.</t>
  </si>
  <si>
    <t># Horas de cámara ejecutadas / Capacidad instalada total de cámaras</t>
  </si>
  <si>
    <t># Horas de edición ejecutadas / Capacidad instalada total de edición</t>
  </si>
  <si>
    <t>A través de la capacidad operativa de las horas cámaras se evaluará la ejecución de la producción del Canal.</t>
  </si>
  <si>
    <t>A través de la capacidad operativa de las horas edición se evaluará la ejecución de la postproducción del Canal.</t>
  </si>
  <si>
    <t>Celebrar contrataciones con terceros con el objeto de producir productos audiovisuales.</t>
  </si>
  <si>
    <t>Calcular los ingresos por concepto de la producción a terceros.</t>
  </si>
  <si>
    <t>Ingresos por producción</t>
  </si>
  <si>
    <t>Valor ingresos por servicios prestados / Valor ingresos presupuestados</t>
  </si>
  <si>
    <t>PROCESO: Gestión Comunicaciones y Mercadeo</t>
  </si>
  <si>
    <t>Directora de mercadeo
Profesionales de comunicación</t>
  </si>
  <si>
    <t>Meta anual</t>
  </si>
  <si>
    <t>Semestral</t>
  </si>
  <si>
    <t>PROCESO: Gestión Administrativa y financiera</t>
  </si>
  <si>
    <t>Medir el porcentaje de ejecución presupuestal de ingresos</t>
  </si>
  <si>
    <t>Medir el porcentaje de ejecución presupuestal de  egresos</t>
  </si>
  <si>
    <t>Medir la participación de terceros en el activo total</t>
  </si>
  <si>
    <t xml:space="preserve">Ejecución presupuestal de ingresos </t>
  </si>
  <si>
    <t>Ejecución presupuestal de egresos</t>
  </si>
  <si>
    <t>Liquidez</t>
  </si>
  <si>
    <t>Endeudamiento</t>
  </si>
  <si>
    <t>Activo Corriente / Pasivo Corriente</t>
  </si>
  <si>
    <t>Pasivo Total / Activo Total</t>
  </si>
  <si>
    <t>Seguimiento al cumplimiento de los planes de acción</t>
  </si>
  <si>
    <t>Contratos que cumplen requisitos de legalización  /  Contratos revisados</t>
  </si>
  <si>
    <t>Atender y tramitar los diferentes contratos que se originen en la operación del Canal.</t>
  </si>
  <si>
    <t xml:space="preserve"># Actas de comité de contratación elaboradas / # de comités de contratación realizados </t>
  </si>
  <si>
    <t># de solicitudes de procesos de selección solicitados / # De pliegos elaborados</t>
  </si>
  <si>
    <t># de procedimientos atendidos a tiempo / # Demandas interpuestas</t>
  </si>
  <si>
    <t>PROCESO: Gestión Humana</t>
  </si>
  <si>
    <t>Presupuesto ejecutado / Presupuesto Aprobado</t>
  </si>
  <si>
    <t>Director Administrativo y Financiero</t>
  </si>
  <si>
    <t>Operación capacidad instalada de producción</t>
  </si>
  <si>
    <t>Operación capacidad instalada de Postproducción</t>
  </si>
  <si>
    <t xml:space="preserve">Meta
</t>
  </si>
  <si>
    <t>PROCESO: Gestión Programación y Distribución</t>
  </si>
  <si>
    <t>RESPONSABLE: Gerente</t>
  </si>
  <si>
    <t>RESPONSABLE: Director Producción</t>
  </si>
  <si>
    <t>RESPONSABLE: Director Programación y Distribución</t>
  </si>
  <si>
    <t xml:space="preserve">RESPONSABLE: Jefe control interno </t>
  </si>
  <si>
    <t>RESPONSABLE: Director Técnico</t>
  </si>
  <si>
    <t>RESPONSABLE: Director Administrativo y Financiero</t>
  </si>
  <si>
    <t>RESPONSABLE: Directora Comunicaciones y Mercadeo</t>
  </si>
  <si>
    <t>RESPONSABLE: SECRETARIA GENERAL</t>
  </si>
  <si>
    <t>Anticorrupción</t>
  </si>
  <si>
    <t>MECI</t>
  </si>
  <si>
    <t>Cumplimiento de los indicadores del plan anticorrupción</t>
  </si>
  <si>
    <t>Cumplimiento de los indicadores en la rendición de cuentas y Ley de transparencia</t>
  </si>
  <si>
    <t>Evaluación de indicadores</t>
  </si>
  <si>
    <t>Implementación y seguimiento al MECI</t>
  </si>
  <si>
    <t>Rendición de Cuentas y Ley de Transparencia</t>
  </si>
  <si>
    <t>Seguimiento a las actividades formuladas para el MECI</t>
  </si>
  <si>
    <t>RESPONSABLE: Jefe de Gestión Humana.</t>
  </si>
  <si>
    <t>&gt;1.25</t>
  </si>
  <si>
    <t>&lt;=30%</t>
  </si>
  <si>
    <t>PLAN DE DESARROLLO ALCALDÍA DE MEDELLÍN 2016-2019
RELACIÓN TELEMEDELLÍN</t>
  </si>
  <si>
    <t>DIMENSIÓN 1: Creemos en la cultura ciudadana</t>
  </si>
  <si>
    <t>RETO</t>
  </si>
  <si>
    <t>Reto 1.3: Medellín bien administrada</t>
  </si>
  <si>
    <t>PROCESO: Gestión Agencia y Central de Medios</t>
  </si>
  <si>
    <t>Director de Agencia y Central de Medios</t>
  </si>
  <si>
    <t>RESPONSABLE: Director Agencia y Central de Medios</t>
  </si>
  <si>
    <t>Cumplimiento en el desarrollo del plan de trabajo de la OCI</t>
  </si>
  <si>
    <t>Realizar todas las actividades programadas en el plan para el año 2016</t>
  </si>
  <si>
    <t>Actividades Programadas/actividades Terminadas</t>
  </si>
  <si>
    <t>4.1. Creemos en la Cultura Ciudadana</t>
  </si>
  <si>
    <t>DIMENSIÓN PLAN DE DESARROLLO ALCALDÍA DE MEDELLÍN</t>
  </si>
  <si>
    <t>RESPONSABLE: Dirección de Planeación</t>
  </si>
  <si>
    <t xml:space="preserve"> </t>
  </si>
  <si>
    <t>OBJETIVOS ESTRATÉGICOS TELEMEDELLÍN 2016 - 2019</t>
  </si>
  <si>
    <t>DIMENSIÓN</t>
  </si>
  <si>
    <t>Horas programas comunicación pública</t>
  </si>
  <si>
    <t xml:space="preserve">Evaluar crecimiento en televidentes
Definir y proyectar crecimiento futuro
Desarrollar estrategia y crecimiento en Rating.
</t>
  </si>
  <si>
    <t>Canales más vistos en los últimos 30 días</t>
  </si>
  <si>
    <t>Número de personas que vieron el canal en los últimos 30 días</t>
  </si>
  <si>
    <t>Canales más vistos el día de ayer</t>
  </si>
  <si>
    <t>Número de personas que vieron el canal el día de ayer</t>
  </si>
  <si>
    <t>Ranking últimos 30 días</t>
  </si>
  <si>
    <t>Posición en ranking de los canales más vistos en los últimos 30 días</t>
  </si>
  <si>
    <t>Ranking día de ayer</t>
  </si>
  <si>
    <t>Posición en ranking de los canales más vistos el día de ayer</t>
  </si>
  <si>
    <t>Estar entre los 10 canales más visto en los últimos  30 días en la tercera ola del EGM</t>
  </si>
  <si>
    <t>DIMENSIÓN TRANSVERSAL: FOMENTAMOS LA CULTURA CIUDADANA</t>
  </si>
  <si>
    <t xml:space="preserve">Emitir horas de Programas de comunicación pública </t>
  </si>
  <si>
    <t>Nominaciones a premios</t>
  </si>
  <si>
    <t>Nominaciones a premios comunicación pública</t>
  </si>
  <si>
    <t>Premios obtenidos en comunicación pública</t>
  </si>
  <si>
    <t xml:space="preserve">Nominaciones a premios en programas de comunicación pública </t>
  </si>
  <si>
    <t xml:space="preserve">Premios obtenidos en programas de comunicación pública </t>
  </si>
  <si>
    <t>Premios obtenidos</t>
  </si>
  <si>
    <t>DIMENSIÓN 2: ENTREGAMOS INFORMACIÓN ÚTIL</t>
  </si>
  <si>
    <t>DIMENSIÓN 1: IMPULSAMOS LA COMUNICACIÓN PÚBLICA</t>
  </si>
  <si>
    <t>Horas programas información</t>
  </si>
  <si>
    <t xml:space="preserve">Emitir horas de Programas de información </t>
  </si>
  <si>
    <t>Nominaciones a premios información</t>
  </si>
  <si>
    <t xml:space="preserve">Nominaciones a premios en programas de información </t>
  </si>
  <si>
    <t>Premios obtenidos en información</t>
  </si>
  <si>
    <t xml:space="preserve">Premios obtenidos en programas de información </t>
  </si>
  <si>
    <t>Realización de propuestas comerciales de producción a las diferentes secretarias y entes descentralizados de la alcaldía de Medellín.
Celebrar convenios y coordinar la facturación de los contratos logrados con las diferentes secretarias y entes descentralizados de la Alcaldía de Medellín.</t>
  </si>
  <si>
    <t>Horas vendidas en programas de comunicación pública</t>
  </si>
  <si>
    <t xml:space="preserve">Horas vendidas comunicación pública / Horas emitidas comunicación pública </t>
  </si>
  <si>
    <t>Venta de horas programas de comunicación pública</t>
  </si>
  <si>
    <t>Margen de utilidad promedio programas de comunicación pública</t>
  </si>
  <si>
    <t>Margen de utilidad promedio de horas de comunicación pública vendida</t>
  </si>
  <si>
    <t>Venta de horas programas de información</t>
  </si>
  <si>
    <t>Horas vendidas en programas de información</t>
  </si>
  <si>
    <t xml:space="preserve">Horas vendidas información / Horas emitidas información </t>
  </si>
  <si>
    <t>Margen de utilidad promedio programas de información</t>
  </si>
  <si>
    <t>Margen de utilidad promedio de horas de información vendida</t>
  </si>
  <si>
    <t>Realización de propuestas comerciales de producción a las diferentes secretarias, entes descentralizados de la alcaldía de Medellín y entidades privadas nacionales e internacionales.
Celebrar convenios y coordinar la facturación de los contratos logrados con las diferentes secretarias y entes descentralizados de la Alcaldía de Medellín.</t>
  </si>
  <si>
    <t>Venta programas información</t>
  </si>
  <si>
    <t>Cantidad de capítulos vendidos en programas de información</t>
  </si>
  <si>
    <t>Cesión programas de información</t>
  </si>
  <si>
    <t>Intercambio de capítulos de  programas de información</t>
  </si>
  <si>
    <t>Cantidad de capítulos intercambiados  en programas de información</t>
  </si>
  <si>
    <t>Transmisión cedida de la señal del satélite</t>
  </si>
  <si>
    <t>Transmisiones cedida de la señal del satélite de programas de información</t>
  </si>
  <si>
    <t>Horas vendidas en programas de información en dólares al exterior</t>
  </si>
  <si>
    <t xml:space="preserve">Ingresos en dólares por horas de información vendida </t>
  </si>
  <si>
    <t>DIMENSIÓN 3: PROMOVEMOS EL ENTRETENIMIENTO</t>
  </si>
  <si>
    <t>Horas programas entretenimiento</t>
  </si>
  <si>
    <t xml:space="preserve">Emitir horas de Programas de entretenimiento </t>
  </si>
  <si>
    <t>Nominaciones a premios entretenimiento</t>
  </si>
  <si>
    <t xml:space="preserve">Nominaciones a premios en programas de entretenimiento </t>
  </si>
  <si>
    <t>Premios obtenidos en entretenimiento</t>
  </si>
  <si>
    <t xml:space="preserve">Premios obtenidos en programas de entretenimiento </t>
  </si>
  <si>
    <t>Venta de horas programas de entretenimiento</t>
  </si>
  <si>
    <t>Horas vendidas en programas de entretenimiento</t>
  </si>
  <si>
    <t xml:space="preserve">Horas vendidas entretenimiento / Horas emitidas entretenimiento </t>
  </si>
  <si>
    <t>Margen de utilidad promedio programas de entretenimiento</t>
  </si>
  <si>
    <t>Margen de utilidad promedio de horas de entretenimiento vendida</t>
  </si>
  <si>
    <t>Venta programas entretenimiento</t>
  </si>
  <si>
    <t>Cantidad de capítulos vendidos en programas de entretenimiento</t>
  </si>
  <si>
    <t>Cesión programas de entretenimiento</t>
  </si>
  <si>
    <t>Cantidad de capítulos intercambiados  en programas de entretenimiento</t>
  </si>
  <si>
    <t>Intercambio de capítulos de  programas de entretenimiento</t>
  </si>
  <si>
    <t>Transmisiones cedida de la señal del satélite de programas de entretenimiento</t>
  </si>
  <si>
    <t>Horas vendidas en programas de entretenimiento en dólares al exterior</t>
  </si>
  <si>
    <t xml:space="preserve">Ingresos en dólares por horas de entretenimiento vendida </t>
  </si>
  <si>
    <t>Brindar espacios y herramientas para posicionar el canal parque Gabriel García Márquez</t>
  </si>
  <si>
    <t>Eventos realizados en 
el Parque GGM</t>
  </si>
  <si>
    <t>Ranking  tripadvisor</t>
  </si>
  <si>
    <t>Posicionar el canal parque en tripadvisor</t>
  </si>
  <si>
    <t>Posicionar el canal parque 
con diferentes eventos realizados</t>
  </si>
  <si>
    <t>Posición en ranking de tripadvisor de lugares de Medellín</t>
  </si>
  <si>
    <t>Cantidad de Eventos 
realizados en el Parque GGM</t>
  </si>
  <si>
    <t>Número de visitantes centro interactivo</t>
  </si>
  <si>
    <t>Promedio mes número de visitantes centro interactivo</t>
  </si>
  <si>
    <t>Recorrido centro interactivo de visitantes</t>
  </si>
  <si>
    <t>Identificar el flujo de visitantes en el centro interactivo</t>
  </si>
  <si>
    <t>Identificar el flujo promedio mensual de visitantes en el centro interactivo</t>
  </si>
  <si>
    <t>Cantidad de visitantes en el centro interactivo</t>
  </si>
  <si>
    <t>Cantidad promedio de visitantes mensuales del centro interactivo</t>
  </si>
  <si>
    <t>Potenciar la sede del canal como fuente de ingresos</t>
  </si>
  <si>
    <t>Directora Administrativo y Financiero</t>
  </si>
  <si>
    <t>Ingreso recibido por alquileres parque GGM</t>
  </si>
  <si>
    <t>Recaudar ingresos por el alquiler de espacios y lugares del canal Parque GGM</t>
  </si>
  <si>
    <t>Ingresos percibidos en alquiler de espacios y lugares del Parque GGM</t>
  </si>
  <si>
    <t>Horas operación del Closed Caption</t>
  </si>
  <si>
    <t>Operar por las horas exigidas por la ANTV el sistema Closed Caption a los programas del canal.</t>
  </si>
  <si>
    <t>DIMENSIÓN 4: SEGUIMOS A LA VANGUARDIA TECNOLÓGICA</t>
  </si>
  <si>
    <t>Adquisición de equipos para realizar la actualización tecnológica requerida y estar a la vanguardia de la tecnología del sector.</t>
  </si>
  <si>
    <t>Director técnico</t>
  </si>
  <si>
    <t xml:space="preserve">Inversión en
tecnología </t>
  </si>
  <si>
    <t>Presupuesto invertido
en adquisición tecnológica</t>
  </si>
  <si>
    <t xml:space="preserve">Evaluar crecimiento en televidentes
Definir y proyectar crecimiento futuro
Desarrollar estrategia y crecimiento en diferentes plataformas
</t>
  </si>
  <si>
    <t>Número de televidentes en sistemas de televisión paga</t>
  </si>
  <si>
    <t>Identificar el número de televidentes en sistemas de televisión paga</t>
  </si>
  <si>
    <t>Cantidad de televidentes en sistemas de televisión paga</t>
  </si>
  <si>
    <t>Número de visitas en la página web</t>
  </si>
  <si>
    <t>Identificar el flujo de visitantes en la página web</t>
  </si>
  <si>
    <t>Cantidad de visitantes en la página web</t>
  </si>
  <si>
    <t>Número de visitas en la Twitter</t>
  </si>
  <si>
    <t>Identificar el flujo de visitantes en la Twitter</t>
  </si>
  <si>
    <t>Cantidad de visitantes en la Twitter</t>
  </si>
  <si>
    <t>Número de visitas en la Facebook</t>
  </si>
  <si>
    <t>Identificar el flujo de visitantes en la Facebook</t>
  </si>
  <si>
    <t>Cantidad de visitantes en la Facebook</t>
  </si>
  <si>
    <t>Número de visitas en la Instagram</t>
  </si>
  <si>
    <t>Identificar el flujo de visitantes en la Instagram</t>
  </si>
  <si>
    <t>Cantidad de visitantes en la Instagram</t>
  </si>
  <si>
    <t>Director de planeación y grupo de trabajo</t>
  </si>
  <si>
    <t>Desarrollar software que aporten y faciliten el proceso de Telemedellín</t>
  </si>
  <si>
    <t>Software operando en Telemedellín</t>
  </si>
  <si>
    <t>Número de programas software operando</t>
  </si>
  <si>
    <t>Diseño e implementación del procedimiento de trazabilidad de los productos audiovisuales de Telemedellín</t>
  </si>
  <si>
    <t>Procedimiento trazabilidad productos audiovisuales de Telemedellín</t>
  </si>
  <si>
    <t>Diseñar e implementar un procedimiento de trazabilidad de los productos audiovisuales de Telemedellín</t>
  </si>
  <si>
    <t>Número de Procedimiento trazabilidad productos audiovisuales de Telemedellín diseñados e implementados</t>
  </si>
  <si>
    <t>DIMENSIÓN 5: SOMOS UN ALIADO ESTRATÉGICO</t>
  </si>
  <si>
    <t>Generar ingresos al Canal a través de proyectos o productos nuevos.</t>
  </si>
  <si>
    <t>Ingresos nuevos productos</t>
  </si>
  <si>
    <t>Cuantificar el valor de los ingresos que genere la agencia de medio de productos nuevos</t>
  </si>
  <si>
    <t>Generar ingresos al Canal a través de nuevos clientes</t>
  </si>
  <si>
    <t>Ingresos por nuevos clientes</t>
  </si>
  <si>
    <t>Cuantificar el valor de los ingresos que genere la agencia de medio por nuevos clientes</t>
  </si>
  <si>
    <t>Generar ingresos al Canal a través de proyectos o productos nuevos de mercadeo.</t>
  </si>
  <si>
    <t>Generar ingresos al Canal a través de nuevos clientes de mercadeo</t>
  </si>
  <si>
    <t>Directora de mercadeo y comunicaciones
Profesionales de comunicación</t>
  </si>
  <si>
    <t>Cuantificar el valor de los ingresos que genere mercadeo de productos nuevos</t>
  </si>
  <si>
    <t>Cuantificar el valor de los ingresos que genere la mercadeo de medio por nuevos clientes</t>
  </si>
  <si>
    <t>Generar ingresos al Canal a por alianzas estratégicas clientes junior</t>
  </si>
  <si>
    <t>Ingresos por alianzas estratégicas clientes junior</t>
  </si>
  <si>
    <t>Cuantificar el valor de los ingresos que genere las alianzas estratégicas clientes junior</t>
  </si>
  <si>
    <t>Medir el porcentaje de satisfacción con los productos o servicios para el conglomerado</t>
  </si>
  <si>
    <t>Medir el porcentaje de satisfacción con los productos o servicios para otras entidades públicas</t>
  </si>
  <si>
    <t>Desarrollar un modelo de gestión comercial para el conglomerado</t>
  </si>
  <si>
    <t>Desarrollar un modelo de gestión comercial para otras entidades públicas</t>
  </si>
  <si>
    <t>Modelo de gestión comercial para el conglomerado</t>
  </si>
  <si>
    <t>Modelo de gestión comercial para otras entidades públicas</t>
  </si>
  <si>
    <t>Clientes satisfechos del conglomerado</t>
  </si>
  <si>
    <t>Clientes satisfechos de otras entidades públicas</t>
  </si>
  <si>
    <t>Contar con un modelo de gestión comercial acorde a el enfoque comercial del conglomerado.</t>
  </si>
  <si>
    <t>Contar con un modelo de gestión comercial acorde a el enfoque comercial de otras entidades públicas.</t>
  </si>
  <si>
    <t>Modelo de gestión comercial para entidades privadas</t>
  </si>
  <si>
    <t>Contar con un modelo de gestión comercial acorde a el enfoque comercial de entidades privadas.</t>
  </si>
  <si>
    <t>Medir el porcentaje de satisfacción con los productos o servicios para entidades privadas</t>
  </si>
  <si>
    <t>Clientes satisfechos de  entidades privadas</t>
  </si>
  <si>
    <t>DIMENSIÓN 6: FORTALECEMOS A TELEMEDELLÍN</t>
  </si>
  <si>
    <t>Generar rentabilidad anual</t>
  </si>
  <si>
    <t>Utilidad operacional</t>
  </si>
  <si>
    <t>Generar una utilidad operacional igual superior al 0%</t>
  </si>
  <si>
    <t>Utilidad operacional del periodo</t>
  </si>
  <si>
    <t>Transferencias programación</t>
  </si>
  <si>
    <t>Generar ingresos al Canal a través de transferencias o convenio único de programación.</t>
  </si>
  <si>
    <t>Desarrollar un modelo de clientes para Telemedellín</t>
  </si>
  <si>
    <t>Desarrollar un modelo de usuarios de Telemedellín</t>
  </si>
  <si>
    <t>Modelo de usuarios</t>
  </si>
  <si>
    <t>Modelo de Clientes</t>
  </si>
  <si>
    <t>Contar con un modelo de cuales son los usuarios que requiere el canal, y como llegar a ellos.</t>
  </si>
  <si>
    <t>Contar con un modelo de usuarios clientes que requieren en el canal, y como llegar a ellos</t>
  </si>
  <si>
    <t>Cantidad de modelos de usuarios elaborados</t>
  </si>
  <si>
    <t>Cantidad de modelos de clientes elaborados</t>
  </si>
  <si>
    <t>Modelo de producción eficiente</t>
  </si>
  <si>
    <t>Contar con un modelo eficiente para el proceso productivo audiovisual del canal</t>
  </si>
  <si>
    <t>Cantidad de modelos productivos audiovisuales eficientes elaborados</t>
  </si>
  <si>
    <t>Percepción donaciones canal público</t>
  </si>
  <si>
    <t>Estudio de percepción realizado de donaciones</t>
  </si>
  <si>
    <t>Cumplimiento del plan de capacitación</t>
  </si>
  <si>
    <t>Medir las actividades del Plan de formación y capacitación</t>
  </si>
  <si>
    <t>No de actividades del plan de capacitación ejecutadas/ No actividades del plan de capacitación programadas X 100</t>
  </si>
  <si>
    <t xml:space="preserve">Jefe de Gestión Humana
</t>
  </si>
  <si>
    <t>Cumplimiento del Plan de Bienestar Laboral</t>
  </si>
  <si>
    <t>Medir las actividades de bienestar laboral.</t>
  </si>
  <si>
    <t>No de actividades del plan de bienestar laboral ejecutadas  / No actividades del plan de bienestar laboral programadas X 100</t>
  </si>
  <si>
    <t>Jefe de Gestión Humana</t>
  </si>
  <si>
    <t>SEGURIDAD Y SALUD EN EL TRABAJO</t>
  </si>
  <si>
    <t>Cumplimiento del programas de seguridad y salud en el trabajo.</t>
  </si>
  <si>
    <t>Identificar las actividades realizadas por el canal en pro de la seguridad y salud en el trabajo.</t>
  </si>
  <si>
    <t>No de actividades del programa de SST ejecutadas  / No actividades del programa de SST programadas X 100</t>
  </si>
  <si>
    <t>* Formular el programa de seguridad y salud en el trabajo.
* Promover la salud de los trabajadores mediante la prevención y el control de enfermedades y accidentes.
* Implementar el Sistema de Gestión de Seguridad y salud en el trabajo - SGSST.</t>
  </si>
  <si>
    <t>Implementación del Sistema de Gestión de Seguridad y salud en el trabajo.</t>
  </si>
  <si>
    <t>Cumplimiento del cronograma</t>
  </si>
  <si>
    <t>RIESGO PSICOSOCIAL</t>
  </si>
  <si>
    <t>Cumplimiento del plan de acción.</t>
  </si>
  <si>
    <t>Plan de acción - Riesgo Psicosocial</t>
  </si>
  <si>
    <t>No de actividades del plan de acción ejecutadas/ No actividades del plan de acción programadas X 100</t>
  </si>
  <si>
    <t>* Formulación e implementación del Plan de acción (Riesgo Psicosocial) frente a los resultados obtenidos</t>
  </si>
  <si>
    <t>EVALUACIÓN DEL DESEMPEÑO</t>
  </si>
  <si>
    <t>Evaluación del desempeño</t>
  </si>
  <si>
    <t>Realizar la evaluación de desempeño al personal vinculado, dos veces al año.</t>
  </si>
  <si>
    <t>No. Funcionarios con evaluación satisfactoria/total funcionarios evaluados X 100</t>
  </si>
  <si>
    <t>Realizar evaluación de desempeño al personal
* Coordinar la evaluación del desempeño del personal de planta con los Directores de Proceso.
* Consolidar y analizar los resultados de la evaluación</t>
  </si>
  <si>
    <t>Capacitar el  personal del Canal, en temas acordes con las funciones que cada uno desempeña,</t>
  </si>
  <si>
    <t xml:space="preserve"> Realizar las actividades requeridas en el plan de bienestar laboral.</t>
  </si>
  <si>
    <t>Medir el clima organizacional del canal</t>
  </si>
  <si>
    <t>Clima organizacional</t>
  </si>
  <si>
    <t>DIMENSIÓN 6: FORTALECEMOS TELEMEDELLÍN</t>
  </si>
  <si>
    <t xml:space="preserve">Medir en que porcentaje es la percepción del clima organizacional de los trabajadores y empleados del canal </t>
  </si>
  <si>
    <t>Desarrollar e implementar un modelo de Liderazgo</t>
  </si>
  <si>
    <t>Modelo de Liderazgo</t>
  </si>
  <si>
    <t>Contar con un modelo de liderazgo acorde a las necesidades del canal</t>
  </si>
  <si>
    <t>Cantidad de modelos de liderazgos implementados</t>
  </si>
  <si>
    <t>Composición asociados</t>
  </si>
  <si>
    <t>Contar con un modelo de Gobierno corporativo acorde a las necesidades del canal</t>
  </si>
  <si>
    <t>Cantidad de modelos corporativos implementados</t>
  </si>
  <si>
    <t>Revisión composición de asociados</t>
  </si>
  <si>
    <t>Revisar e identificar la posibilidad de contar con más asociados en el canal</t>
  </si>
  <si>
    <t>Revisiones de la composición de los asociados</t>
  </si>
  <si>
    <t>Rendición anual de la cuenta de Telemedellín</t>
  </si>
  <si>
    <t>Rendición de la cuenta</t>
  </si>
  <si>
    <t>Número de rendiciones de cuenta</t>
  </si>
  <si>
    <t>Rendir ante la comunidad y el público general interesado la información de las diferentes acciones y manejos que se han realizado de la entidad.</t>
  </si>
  <si>
    <t>PQRSF Cerradas</t>
  </si>
  <si>
    <t>Felicitaciones recibidas</t>
  </si>
  <si>
    <t>Satisfacción de respuestas dadas</t>
  </si>
  <si>
    <t>Tramitar las diferentes PQRFS que llegan al canal</t>
  </si>
  <si>
    <t>Identificar las diferentes felicitaciones recibidas por medio de las PQRFS</t>
  </si>
  <si>
    <t>Darle una repuesta oportuna y clara a los usuarios de esta comunicación, en el lapso de tiempo establecido</t>
  </si>
  <si>
    <t>Reconocer, que porcentaje de las PQRSF, son felicitaciones</t>
  </si>
  <si>
    <t>Identificar si las respuestas ofrecidas por el canal de las PQRSF, dejan satisfecho al usuario de este canal.</t>
  </si>
  <si>
    <t>PQRFS Tramitadas / PQRFS Recibidas</t>
  </si>
  <si>
    <t>Felicitaciones Recibidas / PQRFS Recibidas</t>
  </si>
  <si>
    <t>Cantidad de usuarios satisfechos / Cantidad de usuarios encuestados</t>
  </si>
  <si>
    <t>Clientes satisfechos del conglomerado / Clientes encuestados del conglomerado</t>
  </si>
  <si>
    <t>Clientes satisfechos de entidades privadas / Clientes encuestados de entidades privadas</t>
  </si>
  <si>
    <t>Clientes satisfechos de otras entidades públicas / Clientes encuestados de otras entidades públicas</t>
  </si>
  <si>
    <t>Cantidad de modelos de gestión comercial para el conglomerado</t>
  </si>
  <si>
    <t>Cantidad de modelos de gestión comercial para otras entidades públicas</t>
  </si>
  <si>
    <t>Cantidad de modelos de gestión comercial para entidades privadas</t>
  </si>
  <si>
    <t>CÓDIGO: FT-PE-GE-02
VERSIÓN: 04
FECHA: 09/01/2014</t>
  </si>
  <si>
    <t>Seguimiento a los indicadores formulados para el cumplimiento</t>
  </si>
  <si>
    <t>AÑO:  2017</t>
  </si>
  <si>
    <t>AÑO: 2017</t>
  </si>
  <si>
    <t>CÓDIGO: FT-PE-GE-02
VERSIÓN: 04
FECHA: 17/05/2011</t>
  </si>
  <si>
    <t>Cuantificar la utilidad operacional de la Agencia y Central de Medios</t>
  </si>
  <si>
    <t xml:space="preserve"> Utilidad operacional de la Agencia y Central de Medios</t>
  </si>
  <si>
    <t>Medir el valor de la utilidad operacional en  la Agencia y Central de Medios</t>
  </si>
  <si>
    <t>Ingresos transferencias programación</t>
  </si>
  <si>
    <t>Diseño de planes de acción y seguimiento a los resultados de los indicadores</t>
  </si>
  <si>
    <t>Medir por medio del estudio de IBOPE el share alcanzado por Telemedellín. Promedio share de los 10 programas mas importantes del canal.</t>
  </si>
  <si>
    <t>Share promedio de los 10 programas por contenido trimestral</t>
  </si>
  <si>
    <t>Share promedio de los 5 programas mas vistos de comunicación pública</t>
  </si>
  <si>
    <t>Medir por medio del estudio de IBOPE el share alcanzado por Telemedellín. Promedio share de los 5  programas mas vistos de comunicación pública</t>
  </si>
  <si>
    <t>Medir por medio del estudio de IBOPE el share alcanzado por Telemedellín. Promedio share de los 5  programas mas vistos de información</t>
  </si>
  <si>
    <t>Share promedio de los 5 programas mas vistos de información</t>
  </si>
  <si>
    <t>Medir por medio del estudio de IBOPE el share alcanzado por Telemedellín. Promedio share de los 5  programas mas vistos de entretenimiento</t>
  </si>
  <si>
    <t>Share promedio de los 5 programas mas vistos de entretenimiento</t>
  </si>
  <si>
    <t>Evaluar crecimiento en televidentes
Definir y proyectar crecimiento futuro
Desarrollar estrategia y crecimiento en Share</t>
  </si>
  <si>
    <t>Share comunicación pública</t>
  </si>
  <si>
    <t>Share</t>
  </si>
  <si>
    <t>Share información</t>
  </si>
  <si>
    <t>Share entretenimiento</t>
  </si>
  <si>
    <t>Identificar el porcentaje de clientes satisfechos del conglomerado.</t>
  </si>
  <si>
    <t>Identificar el porcentaje de clientes satisfechos de otras entidades públicas.</t>
  </si>
  <si>
    <t>Identificar el porcentaje de clientes satisfechos de entidades privadas.</t>
  </si>
  <si>
    <t>Investigar la percepción del público en general, las donaciones a canales de televisión pública en Medellín</t>
  </si>
  <si>
    <t>Porcentaje del margen de utilidad de venta de programas de comunicación pública</t>
  </si>
  <si>
    <t>Porcentaje del margen de utilidad de venta de programas de información</t>
  </si>
  <si>
    <t>Cantidad de transmisiones cedida de la señal del satélite programas de información</t>
  </si>
  <si>
    <t>Porcentaje del margen de utilidad de venta de programas de entretenimiento</t>
  </si>
  <si>
    <t>Cantidad de transmisiones cedida de la señal del satélite programas de entretenimiento</t>
  </si>
  <si>
    <t>Recorridos diseñados e implementados para el centro interactivo de visitantes</t>
  </si>
  <si>
    <t>Ser de los canales más vistos en los últimos 30 días en la tercera ola del EGM</t>
  </si>
  <si>
    <t>Ser de los canales más vistos el día de ayer en la tercera ola del EGM</t>
  </si>
  <si>
    <t>Estar entre los 15 canales más visto el día de ayer en la tercera ola del EGM</t>
  </si>
  <si>
    <t xml:space="preserve">El pasado Junio 14 de 2017, envié un correo electrónico a la Gerencia General y a Control interno, con el fin de recibir una respuesta frente a este tema y así poder eliminarlo del plan de acción de la Agencia.
Asunto:
Revisar Plan de Acción de la Agencia y Central de Medios:
Ítem: Implementar estrategias de donaciones ciudadanas
Argumento para retirar las donaciones del plan de acción de la Agencia y Central de medios.
La Comisión Nacional de Televisión, en el acuerdo 003 del 2012, en el artículo 32 se refiere a Prohibiciones. Dice en el numeral 14: Demandar de la teleaudiencia, donaciones, diezmos, pactos, ofrendas o cualquier tipo de bien o servicio mediante la emisión de mensajes de audio o caracteres, o utilizando para ello, el contenido de la programación emitida.
Lo que expresa la Comisión, imposibilita estructurar una estrategia para obtener donaciones de los televidentes o ciudadanos, además mi opinión y percepción frente al tema como Directora de la Agencia es la siguiente:
• Somos un canal público que pertenece a la Alcaldía, no tiene sentido pedir donaciones para mantener el canal. Sería un tema que debe ser aprobado por el Alcalde.
• Las donaciones en dinero, acarrean para la Institución, compromisos legales como gravámenes y certificados de donación. 
• ¿Se implementaría un botón de pago en la página para que los ciudadanos accedan de manera directa a realizar sus donaciones? O…
• ¿Se realizarían colectas algunos viernes del año, que es el único día de la semana que es viable pedir donaciones en lugares públicos?, así lo dice la administración municipal.
• ¿Este dinero se utilizaría para realizar programas propios?
• ¿Estas donaciones suplirían las transferencias que hoy no tiene el canal?
• ¿Salir a pedir dinero a las calles es una estrategia comunicacional y reputacional para la Alcaldía y para el canal?
• ¿Cuál sería la percepción del ciudadano al pedir donaciones?:   ¿estamos quebrados?, ¿La Alcaldía no nos apoya?, ¿hay que sostener un canal parque?, ¿se robaron la plata?... en fin muchas preguntas que afectan no sólo la imagen de esta administración sino la del canal en cabeza del Gerente.
Revisemos cada uno de los interrogantes y la prohibición explícita de la Comisión Nacional de Televisión,  para comprobar la viabilidad de las donaciones en pro del canal.
Gracias
María Clara Arbeláez M.
Directora Agencia y Central de Medios
Aún, estoy pendiente de una respuesta oficial para reestructurar el plan de acción.
</t>
  </si>
  <si>
    <t>Investigar la percepción de donaciones a canales de televisión pública en Medellín</t>
  </si>
  <si>
    <t>Reto 1.3.1: Gobierno visible</t>
  </si>
  <si>
    <t xml:space="preserve">Realizar alianzas estratégicas con la Alcaldía y sus entes descentralizados para temas de comunicación a través de la Agencia y Central de Medios de Telemedellín. </t>
  </si>
  <si>
    <t>Seguimiento a los indicadores formulados para el cumplimento</t>
  </si>
  <si>
    <t>Contar con herramientas y sistemas de red corporativo acorde a los procesos de Telemedellín</t>
  </si>
  <si>
    <t>No se han recibido premios debido a que no han salido convocatorias para esta línea de acción.</t>
  </si>
  <si>
    <t>Capítulos vendidos de programas de información</t>
  </si>
  <si>
    <t>Capítulos cedidos de programas de información</t>
  </si>
  <si>
    <t>Capítulos intercambiados de programas de información</t>
  </si>
  <si>
    <t>Capítulos vendidos de programas de entretenimiento</t>
  </si>
  <si>
    <t>Capítulos cedidos de programas de entretenimiento</t>
  </si>
  <si>
    <t>Capítulos intercambiados de programas de entretenimiento</t>
  </si>
  <si>
    <t>Desarrollar un modelo de gestión comercial para entidades privadas</t>
  </si>
  <si>
    <t>Desarrollar e implementar un modelo de producción eficiente</t>
  </si>
  <si>
    <t>Invertir en los equipos idóneos y adecuados para
 mantener el canal actualizado tecnológicamente.</t>
  </si>
  <si>
    <t>Cumplir indicador "% de tiempo al aire de la señal satelital".</t>
  </si>
  <si>
    <t>Promedio del clima organizacional percibido por la encuesta de este tema</t>
  </si>
  <si>
    <t>Realización de comité de contratación</t>
  </si>
  <si>
    <t>Implementar un modelo de Gobierno corporativo</t>
  </si>
  <si>
    <t>Modelo de Gobierno corporativo</t>
  </si>
  <si>
    <t>* Elaborar y ejercer control del presupuesto acorde a los planes del Canal.
* Presentar oportunamente los estados financieros con las respectivas recomendaciones a la dirección.
* Realizar un adecuado control a los activos.</t>
  </si>
  <si>
    <t>Medir la capacidad para atender obligaciones en el corto plazo</t>
  </si>
  <si>
    <t>Diseñar  implementar el recorrido para el centro interactivo de visitantes</t>
  </si>
  <si>
    <t xml:space="preserve">Medir la satisfacción de los usuarios quienes envían las diferentes PQRSF </t>
  </si>
  <si>
    <t>Generar ingresos al Canal a través de transferencias o convenios de programación.</t>
  </si>
  <si>
    <t>&gt;0%</t>
  </si>
  <si>
    <t>Cumplimiento del plan de trabajo de la OCI para el año 2017</t>
  </si>
  <si>
    <t>OBJETIVO ESTRATÉGICO</t>
  </si>
  <si>
    <t>No se realizó una postulación para premios en esta categoría.</t>
  </si>
  <si>
    <t>No se ha realizado venta de capítulos a canales internacionales de la línea de información.</t>
  </si>
  <si>
    <t>No se ha cedido capítulos a canales internacionales de la línea de información.</t>
  </si>
  <si>
    <t>Se inician los intercambios en el canal con programas como lo son NCC y Sabor a barrio que iniciaron su emisión en este trimestre.</t>
  </si>
  <si>
    <t>Durante 2 días de transmisión se entregó la señal a la fundación Nuevo Periodismo Iberoamericano Gabriel García Márquez en el marco de los premios realizados en Medellín 28 y 29 de octubre.</t>
  </si>
  <si>
    <t>No se tienen ingresos en dólares ya que no se ha vendido a canales internacionales programación de información.</t>
  </si>
  <si>
    <t>El entretenimiento sigue siendo uno de los ejes del canal, a los programas que ya se tenían se sumó Capital Urbana, fortaleciendo la oferta de musicales. Se realizaron especiales como CON VANESSA PALACIO y documentales, Se mantuvieron además Monólogos sin Proprina y Que Ha Pasado.</t>
  </si>
  <si>
    <t>No existía nominación.</t>
  </si>
  <si>
    <t>Fueron recibidos contenidos desde Colciencias (Científico por un día 12 y Formulas de Cambio 21). De la Universidad de Medellín la serie Sabor a Barrio 10. Además se recibieron derechos de emisión de dos documentales: FRANCISCO EL PAPA DEL NUEVO MUNDO y MOJIGANGA UNA HISTORIA Escrita DESDE 1995</t>
  </si>
  <si>
    <t xml:space="preserve">se definió no crear el modelo </t>
  </si>
  <si>
    <t>Hasta el momento no tenemos clientes del sector privado por lo tanto no aplicamos las encuestas.</t>
  </si>
  <si>
    <t>De los derechos de petición que han llegado directamente a la Secretaría General se han tramitado dentro de los términos de Ley</t>
  </si>
  <si>
    <t>DIMENSIÓN 3 PROMOVEMOS EL ENTRETENIMIENTO</t>
  </si>
  <si>
    <t xml:space="preserve">Se consolida en el mes de agosto las evaluaciones de desempeño de los funcionarios de planta sujetos de evaluación.
Esta evaluación debe ser realizada en los meses de febrero y agosto de cada año, o cuando se presenten eventos administrativos que lo requieran.
Se realiza la evaluación acorde al formato establecido por la CNSC y la fijación de compromisos laborales para la vigencia del año 2017, la evidencia se encuentra en la historia laboral de cada funcionario.
</t>
  </si>
  <si>
    <t>Se realizaron las actividades programadas. 
Se finalizó la Auditoria Integral de Gestión de Riesgos Institucional con todos los procesos.</t>
  </si>
  <si>
    <t>Se realiza la rendición de cuentas por parte del Gerente de Telemedellín el día 22 de diciembre, como invitado del programa Tiempo Fuera; en el cual expuso todos los valores y datos del año 2017, evidenciando una excelente gestión en este periodo.</t>
  </si>
  <si>
    <t>Durante el último trimestre del año se registraron los mayores porcentajes de operación de la postproducción del Canal con base en la capacidad instalada existente de horas edición. Para este trimestre por la cantidad de recursos solicitados fue necesaria la incorporación de 2 editores adicionales para dar cumplimiento a los productos propios y pagos como: Tour Telemedellín por inauguración en el mes de diciembre, Olimpiadas del Conocimiento, Flow Importado Ritmo Pegado, programa del Centro para la Secretaría de Cultura, documentales propios: Bomberos y Chapecó y micros: inclusión, mujeres, infraestructura, Turismo e Inder.</t>
  </si>
  <si>
    <t>El ultimo trimestre del año mostró el comportamiento más fuerte del año, superando en los meses de octubre y noviembre la capacidad de meta instalada, el mes de diciembre el indicador arrojo un comportamiento inferior debido a la finalización de temporada de programas propios y pagos. Debido a la cantidad de producciones fue necesario incorporar un equipo de producción adicional lo cual permitió asignar grupos de trabajo para las dos unidades móviles, el estudio y el master de grabación. Durante el trimestre se realizaron gran cantidad de transmisiones especiales como: Carrera de las rosas, Medellín de Pista, Mujeres Jóvenes Talento, Mitos y Leyendas Castilla, Festival Altavoz, Premios Periodismo Comunitario, 7 Cerros, Urban Bike, Asobdim, Carros de Rodillos, encendido de alumbrado EPM, Reconocimiento Ser Mejor, Mitos y Leyendas, Festival de Navidad, Premios Proyector, Apertura Medellín Es, Homenaje Chapecoense, Especiales Telemedellín 20 años y videos para la Secretaría de comunicaciones, Cultura y Mujeres como: Buenas prácticas de equidad de género en las empresas, actividades no tradicionales, autonomía económica para niñas, videos Ciudadanos Como Vos, Voluntariado, Territorios seguros, Casas de la Cultura Medellín, cuñas de navidad, sistemas de bibliotecas, redes de formación, convocatorias, entre otros.</t>
  </si>
  <si>
    <t>Se realizó capacitaciones al personal, catalogadas como de prioridad  de prioridad baja  según el plan de formación estipulado para el año 2017,  ruta (\\alpha\juridica\2017\GESTIÓN HUMANA\FORMACIÓN Y CAPACITACIÓN) esto de acuerdo a la demanda y registro de necesidad de capacitación presentada por cada área, además de las capacitaciones que surgieron de necesidades durante el trimestre entre las que estan: ( asistencia al Curso:  NexTV CEO Latin America por la dirección de planeación, Capacitación de asistentes administrativos de cada área, en seguridad social)</t>
  </si>
  <si>
    <t>Se realizaron las actividades del plan de bienestar programadas para el último trimestre del año, estas fueron: 1. otorgamiento de las becas, celebración del día Halloween para los hijos de los empleados y colaboradores de Telemedellín que se llevó a cabo el 31 de octubre de 2017 en las instalaciones del canal parque, celebración de la fiesta de fin de año para los empleados y colaboradores de Telemedellín que se llevó cabo el 16 de diciembre de 2018 ruta evidencias (\\alpha\juridica\2017\GESTIÓN HUMANA\BIENESTAR LABORAL)</t>
  </si>
  <si>
    <t>Se aplica la encuesta de clima laboral al personal de Telemedellín, entre el 11/12/2017 y el 26/12/2017, utilizando encuesta vía correo electrónico como Técnica de recolección de datos, se recopilan los resultados y se plantean las acciones del plan demejoramiento para aplicar en 2018, evidencias:  Link de la encuesta: https://goo.gl/forms/WFjF5CLDwJEB5fI13, ficha técnica y resultados de la encuesta: \\172.16.3.1\juridica\2017\GESTIÓN HUMANA\CLIMA ORGANIZACIONAL</t>
  </si>
  <si>
    <t>Se continua con los grupos de trabajo y la premisa de trabajo en equipo de cada una de las dependencias, para los seguimientos de las evaluaciones de desempeño basados en la calificación global de las áreas. Se proyecta formalizar la metodología del modelo de liderazgo en 2018 teniendo en cuenta que el requerimiento de la implementación del MIPG (modelo integrado de planeación y gestión) cambia los roles, responsabilidades y metodologías de implementación de planes de gestión.</t>
  </si>
  <si>
    <t>Se da cumplimiento a la documentación de las actividades del SG-SST programadas para el tercer trimestre de 2017, al plan de trabajo anual del sistema ruta \\alpha\juridica\2017\GESTIÓN HUMANA\SISTEMA DE GESTÍON\SG-SST Telemedellín\Anexo 17. Plan de trabajo anual en SST</t>
  </si>
  <si>
    <t>Se logra en el último trimestre un avance del sistema de gestión en documentación e implementación del 82%, la información de actividad desarrolladas se encuentra en la ruta(\\alpha\juridica\2017\GESTIÓN HUMANA\SISTEMA DE GESTÍON\SG-SST Telemedellín\Anexo 20. Diagnostico al SG SST). Como actividades del avance, realzadas en el último trimestre están: simulacro de evacuación 20 de octubre, activación y funcionamiento del copasst con sus respectivas actas e informes del avance el SG-SST, medición del riesgo psicosocial.</t>
  </si>
  <si>
    <t>Se aplica la medición de riesgo psicosocial, resultado nivel medio, Se formula el plan de acción de intervención ante los resultados obtenidos de la encuesta de riesgo psicosocial aplicada,  y se construye el “plan PARA INTERVENIR RIESGO PSICOSOCIAL DE MANERA GRUPAL EN CAPACITACIÓN”  evidencias. \\172.16.3.1\juridica\2017\GESTIÓN HUMANA\SISTEMA DE GESTÍON\SG-SST telemedellin\Anexo 26. SVE Psicosocial</t>
  </si>
  <si>
    <t>En el último trimestre del año se emitieron 157 horas de Comunicación Pública, superando el trimestre anterior que marcaba el mejor registro del año.  Al finalizar el año no se cumple con la meta, se logra llegar al 73% con un total de 1534 horas emitidas. Es importante tener al inicio del año un buen registro de horas de Comunicación Pública para que no quede sobrecargado en responsabilidades el segundo semestre y así poder cumplir con la meta esperada.</t>
  </si>
  <si>
    <t>El promedio del año estuvo en 2.69, cumpliendo la meta en un 127%.  Este trimestre, a pesar de disminuir la audiencia con respecto al trimestre anterior, tiene un buen registro.  Noticias Telemedellín, principalmente la emisión de las 19:30Hs, por lo general presenta un buen índice de audiencia y los informes en directo o avances informativos también ayudan a mantener e incrementar este promedio.</t>
  </si>
  <si>
    <t>El programa En Portada estuvo nominado a los premios Fasecolda pero no salió ganador.</t>
  </si>
  <si>
    <t>El promedio anual quedó en 2.86, cumpliendo la meta en un 118%.  Programas como La Viejoteca, Ciudad Enamorada y Monólogos Sin Propina representan una buena parte de la audiencia.</t>
  </si>
  <si>
    <t>No se realizaron ventas de este tipo de contenido en el cuarto trimestre.</t>
  </si>
  <si>
    <t>Se siguieron realizando contactos con canales internacionales para el intercambio de contenidos y hay convenios pendientes para poder ejecutar dichos intercambios.</t>
  </si>
  <si>
    <t>Para el cuarto trimestre no se logró ceder de la línea de entretenimiento horas de este contenido.</t>
  </si>
  <si>
    <t>No se perciben ingresos por dólares en este cuarto trimestre.</t>
  </si>
  <si>
    <t>En el último semestre del año se continúan con 6 horas diarias de programación con Closed Caption lo que da un total de 552 horas en el trimestre.</t>
  </si>
  <si>
    <t>Se realiza la encuesta a las entidades del conglomerado que realizaron productos audiovisuales con Telemedellín, de las cuales contestaron la Secretaría de Desarrollo, Secretaría de Cultura, Secretaría de las Mujeres y la Secretaría de Seguridad.
Estas entidades al responder la encuesta realizada desde el área de Planeación del canal, dieron una calificación del 75% a la satisfacción en calidad y servicios.</t>
  </si>
  <si>
    <t>Se realizó la encuesta a empresas como INDER. EPM y Alcaldía de Envigado pero no contestaron ésta misma.</t>
  </si>
  <si>
    <t>No se tuvieron clientes privados durante el 2017, por lo cual no se realizó la encuesta.</t>
  </si>
  <si>
    <t>Se cumplieron con la totalidad de solicitudes, entre licitaciones, selecciones abreviadas, mínimas cuantías y por régimen especial proceso de cuantía inferior, cuantía media y cuantía superior</t>
  </si>
  <si>
    <t>En la actualidad se encuentra en trámite una medida de control  contractual desde el año 2015, para el mes de diciembre de 2017 se ha dado respuesta a todos los requerimientos por parte del juzgado, por lo tanto las actuaciones se miden en una 100%</t>
  </si>
  <si>
    <t>La composición de porcentaje en el cuarto trimestre reflejo los siguientes datos:
Diálogos: 67 %
Consolidado concejo -51%
Camino al barrio 27%
Federico 35%
Vivir mejor 86%
Mi barrio Cuenta 71%
Contraseña 36%</t>
  </si>
  <si>
    <t>En el último trimestre se observa un excelente porcentaje de ganancia debido a la buena utilidad de paso a paso y la cantidad de promos y videos informativos que se realizaron. Además del 88% que suma punto de giro, coopera en el aumentó del valor de este indicador, demostrando que los programas informativos aportan a los ingresos del canal.</t>
  </si>
  <si>
    <t>En esta último trimestre se venden 200 horas de información lo cual generó al canal grandes utilidades. Se acerca mucho a la meta que se tenía anual, pero debido a la cantidad de horas informativas del noticiero, no se logro cumplir en proporción de ventas.</t>
  </si>
  <si>
    <t>Se siguen realizando programas de entretenimiento con recursos propios para este último trimestre del año, pero si se realizaron transmisiones coom siete cerros, altavoz y las transmisiones inder que aportaron a este indicador.</t>
  </si>
  <si>
    <t xml:space="preserve">OBJETIVO ESTRATÉGICO </t>
  </si>
  <si>
    <t>El procedimiento y formatos reposan en la carpeta de Calidad del canal donde los pueden consultar todos los colaboradores del canal. Se crearon con la versión 1, esperando que acciones de mejora se puedan identificar e incluir en este procedimiento.</t>
  </si>
  <si>
    <t>Desde el área de planeación se realizó durante todo el año las acciones pertinentes para el seguimiento, diligenciamiento, ajustes y análisis de los planes de acción de todas las áreas, asegurando un cumplimiento del 100% en la recopilación de la información.</t>
  </si>
  <si>
    <t>La página de transparencia cuenta con los documentos actualizados para la consulta de los ciudadanos, además se actualizó el nomograma del canal. 
Se monta el plan de acción 2017 con los resultados finales y valor alcanzado.
Se sube igualmente el último informe de PQR el cual es vital para la toma de decisiones y actividades para mejorar el servicio a la ciudadanía.</t>
  </si>
  <si>
    <t>En el último trimestre del año se logró un promedio de 2.06 puntos en los programas de Comunicación Pública.  Al finalizar el año se logró la meta en un 251%.  Las transmisiones especiales de eventos de ciudad y algunos programas de las diferentes secretarías de la Alcaldía de Medellín, lograron en este último semestre aumentar considerablemente la audiencia de los programas de esta categoría.</t>
  </si>
  <si>
    <t>1 nominación a los premios TAL con la transmisión Homenaje a las Víctimas de Chapecoence</t>
  </si>
  <si>
    <t>La mayor parte de los programas de Comunicación Pública hacen parte de contratos con la Alcaldía de Medellín y sus secretarías (Federico Cuenta Con Vos, Mi Barrio Cuenta, Mujeres Seguras Que Inspiran, InclusiónEs, Esta es mi Casa, Medellín con toda seguridad, entre otros) Además programas como Ídolos de Barrio (INDER Medellín) Área Silvestre y Diálogos Metropolitanos (AMVA), Vivir Mejor (Alcaldía de Envigado), además de las transmisiones especiales de eventos de ciudad que son pagos por la secretaría de Comunicaciones y la Secretaría de Cultura en su mayoría.</t>
  </si>
  <si>
    <t>Al final del año se emitieron 2821 horas de contenido informativo.  Este cuarto trimestre es el registro más alto del año en contenidos informativos donde se suman las 5 emisiones del día de Noticias Telele Medellín (6AM, Medio Día, Noche, y repetición Medio Día y noche).  Además de los documentales, los avances informativos y los programas En Portada y Punto de Giro.</t>
  </si>
  <si>
    <t>Se realizaron transmisiones de entretenimiento como Urban Bike, Carros de Rodillos y Encendido Navideño, los cuales dejaron un margen de utilidad muy positivo en este último trimestre.</t>
  </si>
  <si>
    <t>Número de horas al aire de la programación con Closed Caption</t>
  </si>
  <si>
    <t>Operar el sistema de subtítulos de programas de televisión destinado para la audiencia hipoacusia.</t>
  </si>
  <si>
    <t>TOTAL FACTURACIÓN CONVENIOS 2017  $ 8.512.586.956                                                              
HONORARIOS ADMÓN DELEGADA /ANTES DE IVA CONVENIOS  2017 $  543.757.442                                           
TOTAL AUTOFACTURAS DE AGENCIA, PAUTA Y PROGRAMACIÓN:  $ 763.409.548                           
INCENTIVOS: $127.215.580
INGRESOS SOLO AGENCIA: $ 2.867.226.318</t>
  </si>
  <si>
    <t>PONDERACIÓN A DICIEMBRE</t>
  </si>
  <si>
    <t>Las otras entidades públicas con las cuales tuvimos contratos y respondieron la encuesta fueron Área Metropolitana y Alcaldía de Envigado, los cuales reflejaron un nivel de satisfacción medio, por lo cual se realizara el respectivo análisis para elevar la calidad de nuestros productos.</t>
  </si>
  <si>
    <t>Las secretarías., ITM y Plaza Mayor que contestaron la encuesta de satisfacción, reflejaron un 90% de calificación en nuestros productos y servicios, lo cual es un buen resultado para la Agencia y Central de Medios.</t>
  </si>
  <si>
    <r>
      <rPr>
        <b/>
        <sz val="10"/>
        <rFont val="Arial"/>
        <family val="2"/>
      </rPr>
      <t xml:space="preserve">Marketing Digital:  </t>
    </r>
    <r>
      <rPr>
        <sz val="10"/>
        <rFont val="Arial"/>
        <family val="2"/>
      </rPr>
      <t xml:space="preserve">Posicionamiento SEO: Search Engine optimization
MUSEO CASA DE LA MEMORIA.                             Email marketing:
MUSEO CASA DE LA MEMORIA y ALCALDÍA COMUNICACIONES.              total:   $ 11.135.091                      </t>
    </r>
    <r>
      <rPr>
        <b/>
        <sz val="10"/>
        <rFont val="Arial"/>
        <family val="2"/>
      </rPr>
      <t>Acciones BTL</t>
    </r>
    <r>
      <rPr>
        <sz val="10"/>
        <rFont val="Arial"/>
        <family val="2"/>
      </rPr>
      <t xml:space="preserve">: Empresa FIERA  se desarrollaron con la Secretaría de Hacienda, diferentes estrategias de endomarketing a partir de las experiencias sociales. Total: $ 35.000.000  + $ 11.500.000   ejecutados hasta diciembre 29.   Invitación por $110.000.000 ganador ITSNOW.                             </t>
    </r>
    <r>
      <rPr>
        <b/>
        <sz val="10"/>
        <rFont val="Arial"/>
        <family val="2"/>
      </rPr>
      <t>MEDICIÓN SOCIAL:</t>
    </r>
    <r>
      <rPr>
        <sz val="10"/>
        <rFont val="Arial"/>
        <family val="2"/>
      </rPr>
      <t xml:space="preserve"> DC estrategia realiza investigaciones de mercado, encuestas a la ciudadanía y focus group: Total: sobre aspectos sociales de la ciudad $ 476.000.000                                                                                              DC estrategia,  realiza investigaciones de  neuromarketing y desarrollo de estrategias sociales    $   533.000.000                                                                                                                
</t>
    </r>
    <r>
      <rPr>
        <b/>
        <sz val="10"/>
        <rFont val="Arial"/>
        <family val="2"/>
      </rPr>
      <t>INVAMER</t>
    </r>
    <r>
      <rPr>
        <sz val="10"/>
        <rFont val="Arial"/>
        <family val="2"/>
      </rPr>
      <t>: Encuestas y análisis de resultados sobre la opinión de la ciudadanía en temas de importancia para nuestros clientes. $ 98.375.899</t>
    </r>
  </si>
  <si>
    <t>Generar ingresos al Canal a por alianzas estratégicas clientes Premium</t>
  </si>
  <si>
    <t>Ingresos por alianzas estratégicas clientes Premium</t>
  </si>
  <si>
    <t>Cuantificar el valor de los ingresos que genere las alianzas estratégicas clientes Premium</t>
  </si>
  <si>
    <t>Los resultados de la audiencia provienen de las personas de Medellín que afirmaron ver Telemedellín en los últimos 30 días, al momento de responder la encuesta.
Número de personas que vieron Telemedellín en los últimos 30 días fueron 811.900</t>
  </si>
  <si>
    <r>
      <t xml:space="preserve">Telemedellín ocupó el puesto 10 en el </t>
    </r>
    <r>
      <rPr>
        <i/>
        <sz val="10"/>
        <rFont val="Arial"/>
        <family val="2"/>
      </rPr>
      <t xml:space="preserve">ranking </t>
    </r>
    <r>
      <rPr>
        <sz val="10"/>
        <rFont val="Arial"/>
        <family val="2"/>
      </rPr>
      <t>de los canales más vistos ayer. En el período anterior estuvo en la casilla 11. Aunque subió una casilla en el ranking el porcentaje bajó por una disminución en el número de televidentes, baja que tuvieron todos los canales en general excepto Caracol.</t>
    </r>
  </si>
  <si>
    <r>
      <t xml:space="preserve">Telemedellín ocupó el puesto 10 en el </t>
    </r>
    <r>
      <rPr>
        <i/>
        <sz val="10"/>
        <rFont val="Arial"/>
        <family val="2"/>
      </rPr>
      <t xml:space="preserve">ranking </t>
    </r>
    <r>
      <rPr>
        <sz val="10"/>
        <rFont val="Arial"/>
        <family val="2"/>
      </rPr>
      <t>de los canales más vistos en los últimos 30 días, lo que demuestra que subió una casilla con un aumento del 6,89% en la variación de la ola con respecto al año anterior.</t>
    </r>
  </si>
  <si>
    <t xml:space="preserve">Tenemos la reactivación de nuevos clientes que hace mas de 3 años no estaban en el Canal, aquellos que se captaron nuevamente gracias a rueda de negocios y activaciones de planes de mercadeo. </t>
  </si>
  <si>
    <t>Encuesta de satisfacción con un 100% de respuesta positiva.</t>
  </si>
  <si>
    <t xml:space="preserve">Elevar la capacidad de innovación, calidad técnica y audiovisual en la producción, programación y distribución de los contenidos a través de las distintas plataformas. </t>
  </si>
  <si>
    <t>Durante el cuarto trimestre el Canal aumentó dos puntos la preferencia en el ranking de lugares referenciados para hacer algo en Medellín. El canal ocupa el lugar número 70, la calificación es buena con un 4,5 y tenemos 30 opiniones de los visitantes.</t>
  </si>
  <si>
    <t>Para octubre y noviembre de disminuye un poco la recepción de visitantes para recorridos dentro del canal, para dedicar todos los esfuerzos en la etapa final del montaje del tour Telemedellín, el cual fue entregado el 6 de diciembre y durante este ultimo mes tuvo un ingreso de 1190 personas, es decir el grueso total de la cifra. Se recibieron invitados a la Gala Telemedellín y ciudadanía en general con la promoción de ingreso gratuito al tour.</t>
  </si>
  <si>
    <t>Según la tercera ola del EGM 2'524.200 personas reciben la señal de Telemedellín, pero de allí 811.000 la ven, es decir un 32,16% la ven y el 67,84% tienen la señal pero no  la ven.</t>
  </si>
  <si>
    <t xml:space="preserve">En este último trimestre las visitas a la página fueron menores en 59.435 visitas, esto se debe a que el trimestre anterior presentó temas y varios especiales, Colombimoda, Feria de Flores, Visita del Papa. Acontecimientos mas impactantes y mas consultados por los usuarios de la web. Esto no quiere decir que hemos bajando en seguidores totales, todo lo contrario estos se ven incrementado periódicamente permitiendo lograr en posicionamiento anual de las redes del Canal. </t>
  </si>
  <si>
    <t xml:space="preserve">Se crea "una mirada hacia la gestión comercial y el impacto en mercadeo de Telemedellín" modelo con objetivos y planeación estratégica que pretende desarrollar estrategias de venta para el Conglomerado, cuenta con herramientas propias para este sector y es un manual que busca suplir necesidades de estos clientes basados en nuestros productos. </t>
  </si>
  <si>
    <t xml:space="preserve">Se crea "una mirada hacia la gestión comercial y el impacto en mercadeo de Telemedellín" modelo con objetivos y planeación estratégica que pretende desarrollar estrategias de venta para la venta asertiva con las entidades públicas, cuenta con herramientas propias para este sector y es un manual que busca suplir necesidades de estos clientes basados en nuestros productos. </t>
  </si>
  <si>
    <t xml:space="preserve">Se crea "una mirada hacia la gestión comercial y el impacto en mercadeo de Telemedellín" modelo con objetivos y planeación estratégica que pretende desarrollar estrategias de venta para entidades privadas, cuenta con herramientas propias para este sector y es un manual que busca suplir necesidades de estos clientes basados en nuestros productos. </t>
  </si>
  <si>
    <t xml:space="preserve">Se decide no aplicar encuestas hasta el tercer trimestre del año siguiente, esto con el fin de analizar el nuevo impacto y aplicación del modelo de gestión comercial. No tiene impacto realizar encuestas apenas comenzando con un nuevo modelo o aplicativo de gestión de ventas. </t>
  </si>
  <si>
    <t xml:space="preserve">Se crea modelo para captación de clientes en donde se delimitan bases de trabajo y estrategias de regulación, seguimiento y fidelización de los nuevos clientes del Canal. Estrategia de mercadeo definida: planes promocionales, súper promos, pautas especiales y programas de fidelización a la medida y enfocados en cada necesidad. </t>
  </si>
  <si>
    <t xml:space="preserve">Se crea manual de Modelo de usuarios: con estructura integral, venta creada de servicios, plan de incentivos, modelos de negociación, programa de usuario. </t>
  </si>
  <si>
    <t>En este trimestre 8 personas respondieron la encuesta de satisfacción con calificaciones positivas. Se recibieron dos comentarios positivos y una sugerencia por mejorar, que igualmente agradeció por ser atendido.</t>
  </si>
  <si>
    <t>El número de personas de la ciudad que afirmó ver Telemedellín el día de ayer, al momento de responder la encuesta  fueron 122.700 , teniendo una baja del 16.59% con respecto al año anterior. En términos generales 19 de los 20 primeros canales situados en este ranking descendieron comparado los resultados de la ola anterior, la media de las caídas fue del 15.8%</t>
  </si>
  <si>
    <t>A diciembre 31 de 2017, no se cumplió la meta porque TELEMEDELLÍN no recibió las transferencias que tenía presupuestadas recibir, adicionalmente los costos y gastos aumentaron de un año a otro.</t>
  </si>
  <si>
    <t>No se realizó el modelo corporativo que se tenía planificado para este año, se dispondrá para el primer semestre del próximo año ha crearlo.</t>
  </si>
  <si>
    <t>Se evidencia, en el cuarto trimestre que la ejecución del presupuesto de ingresos es superior al 100% de lo presupuestado, porque se recibió un ingreso por ley de garantía para ejecutar en 2018 , se  hizo una adición  de $1.953.902.504,  Adicionalmente los  ingresos por arrendamientos de espacios físicos  aumentaron sustancialmente con relación al trimestre anterior</t>
  </si>
  <si>
    <t xml:space="preserve">El objeto misional del área de producción, es administrar los recursos técnicos y humanos con el fin de generar productos audiovisuales de acuerdo a las necesidades del área de programación.
Para lograr un modelo de producción eficiente, se debe lograr el máximo provecho de los recursos, así como de la jornada de trabajo del equipo de producción, esto comparado frente a los productos audiovisuales producidos.
La mejor manera de aprovechar al máximo la jornada de trabajo es la producción en serie, es decir, que en una sola sesión y en un mismo sitio se producen varios programas uno tras otro.
Existen programas en directo, que por su naturaleza no pueden ser producidos en serie, lo cual afecta la eficiencia en la producción, ya que para estos, en particular los que son en exteriores, hay que sumar los tiempos de desplazamientos, montaje, alimentación, entre otros, para producir un solo programa. Es importante tener en cuenta que aunque se graba un solo programa, en la cotización del mismo y en su costeo se tienen en cuenta todas estas variables y este costo se le transfiere al cliente. 
Se adjunta archivo con las especificaciones de modelo producción eficiente para equipos y turnos de trabajo, proyectos de producción eficiente durante el año, capacitaciones y seguimientos realizados.
Se registra en el sistema de calidad como instructivo IN-GO-PD-05 Modelo de producción eficiente
</t>
  </si>
  <si>
    <t>Se puso como responsable a todos los directores de área.</t>
  </si>
  <si>
    <t>GERENCIA</t>
  </si>
  <si>
    <t>PLANEACIÓN</t>
  </si>
  <si>
    <t>PROGRAMACIÓN</t>
  </si>
  <si>
    <t>PRODUCCIÓN</t>
  </si>
  <si>
    <t>AGENCIA Y CENTRAL</t>
  </si>
  <si>
    <t>TÉCNICA</t>
  </si>
  <si>
    <t>G. HUMANA</t>
  </si>
  <si>
    <t>JURÍDICA</t>
  </si>
  <si>
    <t>ADMINISTRATIVA</t>
  </si>
  <si>
    <t>CONTROL INTERNO</t>
  </si>
  <si>
    <t>COMUNICACIONES</t>
  </si>
  <si>
    <t>PROCESO</t>
  </si>
  <si>
    <t>% LOGRADO</t>
  </si>
  <si>
    <t>Valor Alcanzado 2017</t>
  </si>
  <si>
    <t>De parte de gerencia, se está trabajó fuertemente por conseguir recursos fijos a través de transferencias o convenios de programación.  Se realizaron varios convenios con área metropolitana, alcaldía de Medellín, Envigado,  Sec de Cultura, Metrosalud.EPM, Metroplus, CORANTIOQUIA, ISVIMED, INDER, Plaza Mayor y Fundación Gabriel García Márquez, ITM y la Secretaría de Suministros en actividades de producción y arrendamiento de espacios del canal.</t>
  </si>
  <si>
    <t>Valor alcanzado 2017</t>
  </si>
  <si>
    <t>Al finalizar este último trimestre del año, se asegura y verifica el correcto funcionamiento de todos los software que se encuentren operando, cumpliendo así con el objetivo del indicador propuesto al inicio del año.
• Control de acceso.
• Admindoc.
• Préstamo de equipos.
• Minutaje.
• GLPI.
• Mantenimiento.
• Control administrativo.
• ABC-FLEX
• PQR (Implementado enero 2017)
*Fototeca</t>
  </si>
  <si>
    <t>En el plan de anticorrupción por ser cuatrimestral, el último informe que se genero fue el del mes de Septiembre, el resto del año se trabajo en el levantamiento de los riesgos de corrupción para complementar el plan que se va presentar para el próximo año.
En el segundo seguimiento al Plan Anticorrupción y de Atención al ciudadano, en donde se evidencia las actividades programadas, porcentaje de avance y metas correspondientes de acuerdo a sus componentes; en donde cumplimos un 77%,</t>
  </si>
  <si>
    <t xml:space="preserve">
Debido a que en el mes de septiembre, se articuló al MIPG el MECI , desde el área de planeación se decidió realizar un diagnostico de como la empresa se encuentra referente al tema; y así poder construir un cronograma.
El último informe pormenorizado en donde Control Interno realizo la segunda evaluación mayo-agosto 2017 arroja un gran avance en los ítems observados llegando al 86% de cumplimiento, los cuales son Control estratégico, de gestión y evaluación en donde se desglosan diferentes áreas de desarrollo, a comparación de la primera evaluación su variación fue notable, debemos de trabajarle más a las políticas de riesgo y su valoración.</t>
  </si>
  <si>
    <t>Análisis 2017</t>
  </si>
  <si>
    <t xml:space="preserve">El promedio del share de los mejores 10 programas tuvo variación debido a que entraban y salian programas con gran puntuación. Los programas con mejor share en promedio fueron:
Ciudad enamorada, Noticias Tm, La Viejoteca, Vivír Mejor, Punto de Giro, Pony Fútbol, De Frente, Monólogos, entre otros que aportaron a tener un nivel alto durante el año.
</t>
  </si>
  <si>
    <t>Nominación del programa En Portada a los Premios de Periodismo Fasecolda y TAL.</t>
  </si>
  <si>
    <t>Los ingresos generados por el área de producción provienen de servicios audiovisuales como: Medellín de Pista, Mujeres Jóvenes Talento, Mitos y Leyendas Castilla, Festival Altavoz, Premios Periodismo Comunitario, 7 Cerros, Urban Bike, Asobdim, Carros de Rodillos, encendido de alumbrado EPM, Reconocimiento Ser Mejor, Mitos y Leyendas, Festival de Navidad, Premios Proyector, Apertura Medellín Es, Homenaje Chapecoense y videos para la Secretaría de comunicaciones, Cultura y Mujeres como: Buenas prácticas de equidad de género en las empresas, actividades no tradicionales, autonomía económica para niñas, videos Ciudadanos Como Vos, Voluntariado, Territorios seguros, Casas de la Cultura Medellín, cuñas de navidad, sistemas de bibliotecas, redes de formación, convocatorias, Video Parada Juvenil de la Lectura, transmisión Semifinal de Trova, transmisión Parque Cultural Nocturno, Concierto de Inauguración Feria de las Flores, Metro Cable Picacho, videos lanzamiento Feria de las Flores, videos Medalla al Merito Femenino, Capital Semilla, Viejoteca Adulto Mayor, especiales Visita del Papa En Medellín, video resumen Feria de Flores, promo Fiesta del Libro, grabación el Jordan – Kraken, reel Cinemateca, video clasificatorio Altavoz, video "Todos Somos Peatones", promo Foro de Arte y Cultura alquiler de la unidad móvil en Rionegro para Teleantioquia para la producción de la Visita del Papa , concurso Mujeres Jóvenes Talento, festival Gabriel García Márquez y videos  Altavoz Fest, Fiesta del Libro, Las Mujeres y las Expresiones de Arte, Mujeres Jóvenes talento, Cátedra Mova con Pedro Rivas, edificio Mónaco, Pacto Medio Ambiental, Jingles Alcaldía, Video feria de las flores, Festival de Tango 20 y 24 de junio,  Video Reapertura del Jordán, Video Ley de Espectáculos públicos, Videos Medalla al Mérito femenino, Promo animado Secretaría de las Mujeres, Promo animado Parada Juvenil de Lectura y Servicio de Microondas,COLOMBIATEX, ESPECIALES PP  Y MOVILIDAD, FEDERICO CUENTA CON VOS BOGOTÁ, RENDICIÓN DE CUENTAS ALCALDE ANTE EL CONCEJO, PLAN ESTRATÉGICO CENTRO, SERVICIOS DE PRODUCCIÓN PARA LA UNIVERSIDAD SAN BUENAVENTURA</t>
  </si>
  <si>
    <t>En el año ingresaron los siguientes clientes: Secretaría de Hacienda, Desarrollo Económico, Infraestructura, Plaza Mayor, Metroparques - participación, Metroparques - votaciones, Fonvalmed,  ITM, Secretaría de Infraestructura ,Gerencia del Centro. Pascual Bravo,Área Metropolitana, Colegio Mayor, Metroplus, Municipio de Envigado, Medellín Digital, Adición de Secretaría de Comunicaciones, ISVIMED.  Además dos contratos uno para programación de Secretaría de Cultura y uno de Plaza Mayor para plan de Medios del papa.</t>
  </si>
  <si>
    <t>Los clientes junior fueron: Sec de Gestión y Control Territorial y Sec de Planeación.Metroparques - participación, Colegio Mayor,                                                      
Pascual Bravo, Metroparques - Sapiencia y Pascual Bravo</t>
  </si>
  <si>
    <t xml:space="preserve">Los clientes premium fueron: Sec Movilidad, Sec Comunicaciones, Desarrollo Económico, Sec Mujeres, Sec Salud, Sec Seguridad, Sec Infraestructura, Emvarias, Plaza Mayor , Área Metropolitana, Sec Hacienda.Metroparques - votaciones, Fonvalmed, ITM,   Secretaría de Infraestructura,                                                                                           Gerencia del Centro, Área Metropolitana, Plaza Mayor, Terminales, Museo Casa de la Memoria, Comisión Fílmica - Filmmed, Comunicaciones - Comunitarios, Metroplus, Municipio de Envigado, Medellín Digital, Alcaldía de Medellín - Comunicaciones, ISVIMED, Plaza Mayor - plan de medios Papa e INDER.                                                               </t>
  </si>
  <si>
    <t xml:space="preserve">No hubo ninguna novedad con la señal de Telemedellín y se cumple con la cantidad de horas al aire. </t>
  </si>
  <si>
    <t>Se compraron varios equipos para la renovación tecnológica, entre los que están la compra de 4 equipos MACPRO, con monitor 4K y unidad externa de almacenamiento, equipos destinados para graficación y edición de video. Un computador HP workstation Z240, para la automatización de Telemedellín Radio, además la compra de una cámara MEVO y una cámara  DSLR marca CANON referencia T6i,equipos de computo, Software de Adobe, micrófonos, luces, Actualización del equipo Aviwest, ampliación de la SAN, equipo de edición con software Avid, equipo de copia legal.
Se tenia el presupuesto para alcanzar la meta, pero desde la dirección Administrativa no se aprobó el resto de adquisición tecnológica.</t>
  </si>
  <si>
    <t>Dentro de este año se cuenta con reforma estatutaria, en la que se evidencia que: "Podrán ingresar otras personas jurídicas de derecho público, debidamente autorizadas para el efecto, previa aceptación de la Asamblea de Asociados, y celebrado un acuerdo sobre el compromiso o aportes iniciales del nuevo asociado y su naturaleza y forma de pago, con sujeción a las disposiciones propias de este tipo de entidades".</t>
  </si>
  <si>
    <t xml:space="preserve">De 968 contratos suscritos en el cuarto trimestre, se cumplieron con el total de los documentos solicitados conforme al Manual de Contratación y memorando de documentos. Es importante resaltar que algunos fueron anuladosanulados </t>
  </si>
  <si>
    <t>A diciembre se han ejecutado 51 comités de contratación . Las actas se encuentra digitales en la Secretaría General</t>
  </si>
  <si>
    <t>El valor de los arrendamientos por los espacios  físicos  de la sede, y los espacios ubicados en el Parque Gabriel García Márquez (Contenedores)  y del Parque como tal, en este año fue de $291.173.560, debido al aumento de eventos en el parque y en el Estudio 2</t>
  </si>
  <si>
    <t>En el comportamiento de los egresos, se evidencia una  ejecución razonable para el cuarto  trimestre, teniendo en cuenta  que se hizo una adición por $1.953.902.504, los egresos  son por causación. El Canal cuenta con unos compromisos adquiridos hasta diciembre 31 , y que al final de este trimestre alcanzan un 85.53%</t>
  </si>
  <si>
    <t>A diciembre 31, el Canal cuenta con solvencia y capacidad de pago para responder por sus obligaciones de corto plazo con sus activos más líquidos,  Por cada peso que debe, tiene 1.37 para responder.
El promedio del año fue 1.54.</t>
  </si>
  <si>
    <t>TELEMEDELLÍN, al 31 de diciembre  tiene un 26% de endeudamiento,  es el total de las deudas de la entidad con relación a los recursos de que dispone para satisfacerlas.  por cada  peso que tiene en activos, el 26% corresponde a obligaciones con terceros. A  diciembre 31 este índice aumentó con respecto al trimestre anterior porque se contabilizaron los pagos por bienes y servicios de  los contratos de administración delegada por un valor de $4.366.535.872.
El promedio del año fue 19%</t>
  </si>
  <si>
    <t xml:space="preserve">Este año se realizaron 50 eventos en el parque, fueron eventos de gran extensión de tiempo y que generaron grandes ingresos económicos al canal ya que 3 de ellos fueron privados. </t>
  </si>
  <si>
    <t>Durante el último trimestre se finalizó la instalación del tour Telemedellín y se abrió al público en funcionamiento el 6 de diciembre.</t>
  </si>
  <si>
    <t>Para el último trimestre 496 personas en promedio realizaron la visita guiada al canal. El promedio anual fue de 580 personas en promedio.</t>
  </si>
  <si>
    <t>Bajamos en este último trimestre en 36.948 en el número de visitantes en twitter, pero seguimos avanzando en número total de seguidores y cumpliendo las metas de visitantes y posicionamiento en la red social.  El total en el año de visitantes fueron 2.344.574</t>
  </si>
  <si>
    <t>Con relación al comportamiento de Facebook destacamos crecimiento en esta red social, en donde tuvimos 22.340 me gusta y un incremento en visitas de 159.562. 
El total anual de visitas fueron 468.000</t>
  </si>
  <si>
    <t>Respecto a la cantidad de visitantes en la Instagram bajamos en 1.121, pero igualmente es un crecimiento anual de la red lo que conlleva al posicionamiento del Canal, en ese orden de ideas se logró el objetivo anual de incremento en vistas.  El total de visitas del año fueron 98.605.</t>
  </si>
  <si>
    <t>En el último trimestre se logró recaudar por concepto de nuevos productos  más de 241 millones, referentes al alquiler de espacios comerciales (parque, estudio 2 y salón 3A y pauta en página web).</t>
  </si>
  <si>
    <t>En total se recibieron 453 PQR. Durante los últimos 3 meses fueron cerradas 164 PQR, estas fueron resueltas a tiempo. Cada una de ellas cumplió con el tiempo estimado y dentro de la necesidad del usuario.  La mayoría fueron Solicitudes de Cotización (74) y Solicitudes de Información (31).</t>
  </si>
  <si>
    <t>De las 453 PQR recibidas en el año, se encuentran 18 que fueron felicitaciones para el canal. El porcentaje de participación  en promedio fue del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</si>
</sst>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_(* \(#,##0\);_(* &quot;-&quot;_);_(@_)"/>
    <numFmt numFmtId="165" formatCode="_(&quot;$&quot;\ * #,##0.00_);_(&quot;$&quot;\ * \(#,##0.00\);_(&quot;$&quot;\ * &quot;-&quot;??_);_(@_)"/>
    <numFmt numFmtId="166" formatCode="_(* #,##0.00_);_(* \(#,##0.00\);_(* &quot;-&quot;??_);_(@_)"/>
    <numFmt numFmtId="167" formatCode="0.0%"/>
    <numFmt numFmtId="168" formatCode="_(* #,##0_);_(* \(#,##0\);_(* &quot;-&quot;??_);_(@_)"/>
    <numFmt numFmtId="169" formatCode="[$$-409]#,##0"/>
    <numFmt numFmtId="170" formatCode="_(&quot;$&quot;\ * #,##0_);_(&quot;$&quot;\ * \(#,##0\);_(&quot;$&quot;\ * &quot;-&quot;??_);_(@_)"/>
    <numFmt numFmtId="171" formatCode="0.0"/>
    <numFmt numFmtId="172" formatCode="0.0000%"/>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0"/>
      <color theme="1"/>
      <name val="Arial"/>
      <family val="2"/>
    </font>
    <font>
      <b/>
      <sz val="12"/>
      <name val="Arial"/>
      <family val="2"/>
    </font>
    <font>
      <sz val="10"/>
      <name val="Arial"/>
      <family val="2"/>
    </font>
    <font>
      <b/>
      <sz val="16"/>
      <name val="Calibri"/>
      <family val="2"/>
      <scheme val="minor"/>
    </font>
    <font>
      <b/>
      <sz val="11"/>
      <color theme="1"/>
      <name val="Calibri"/>
      <family val="2"/>
      <scheme val="minor"/>
    </font>
    <font>
      <b/>
      <sz val="9"/>
      <name val="Arial"/>
      <family val="2"/>
    </font>
    <font>
      <b/>
      <sz val="10"/>
      <color theme="1"/>
      <name val="Arial"/>
      <family val="2"/>
    </font>
    <font>
      <u/>
      <sz val="11"/>
      <color theme="10"/>
      <name val="Calibri"/>
      <family val="2"/>
      <scheme val="minor"/>
    </font>
    <font>
      <u/>
      <sz val="11"/>
      <color theme="11"/>
      <name val="Calibri"/>
      <family val="2"/>
      <scheme val="minor"/>
    </font>
    <font>
      <sz val="10"/>
      <color rgb="FF000000"/>
      <name val="Arial"/>
      <family val="2"/>
    </font>
    <font>
      <sz val="14"/>
      <name val="Calibri"/>
      <family val="2"/>
      <scheme val="minor"/>
    </font>
    <font>
      <sz val="14"/>
      <name val="Calibri"/>
      <family val="2"/>
    </font>
    <font>
      <sz val="9"/>
      <color theme="1"/>
      <name val="Arial"/>
      <family val="2"/>
    </font>
    <font>
      <sz val="9"/>
      <name val="Arial"/>
      <family val="2"/>
    </font>
    <font>
      <i/>
      <sz val="10"/>
      <name val="Arial"/>
      <family val="2"/>
    </font>
  </fonts>
  <fills count="9">
    <fill>
      <patternFill patternType="none"/>
    </fill>
    <fill>
      <patternFill patternType="gray125"/>
    </fill>
    <fill>
      <patternFill patternType="solid">
        <fgColor indexed="53"/>
        <bgColor indexed="64"/>
      </patternFill>
    </fill>
    <fill>
      <patternFill patternType="solid">
        <fgColor indexed="17"/>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s>
  <borders count="24">
    <border>
      <left/>
      <right/>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24">
    <xf numFmtId="0" fontId="0" fillId="0" borderId="0"/>
    <xf numFmtId="9" fontId="1" fillId="0" borderId="0" applyFont="0" applyFill="0" applyBorder="0" applyAlignment="0" applyProtection="0"/>
    <xf numFmtId="0" fontId="2" fillId="0" borderId="0"/>
    <xf numFmtId="166" fontId="1" fillId="0" borderId="0" applyFont="0" applyFill="0" applyBorder="0" applyAlignment="0" applyProtection="0"/>
    <xf numFmtId="0" fontId="7"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28">
    <xf numFmtId="0" fontId="0" fillId="0" borderId="0" xfId="0"/>
    <xf numFmtId="0" fontId="2" fillId="0" borderId="0" xfId="2" applyFont="1"/>
    <xf numFmtId="0" fontId="2" fillId="0" borderId="12" xfId="2" applyFont="1" applyFill="1" applyBorder="1" applyAlignment="1">
      <alignment horizontal="justify" vertical="center" wrapText="1"/>
    </xf>
    <xf numFmtId="0" fontId="7" fillId="6" borderId="0" xfId="4" applyFill="1"/>
    <xf numFmtId="0" fontId="4" fillId="4" borderId="18" xfId="4" applyFont="1" applyFill="1" applyBorder="1" applyAlignment="1">
      <alignment horizontal="center"/>
    </xf>
    <xf numFmtId="0" fontId="6" fillId="4" borderId="19" xfId="4" applyFont="1" applyFill="1" applyBorder="1" applyAlignment="1">
      <alignment horizontal="center" vertical="center"/>
    </xf>
    <xf numFmtId="0" fontId="4" fillId="4" borderId="20" xfId="4" applyFont="1" applyFill="1" applyBorder="1" applyAlignment="1">
      <alignment horizontal="center" wrapText="1"/>
    </xf>
    <xf numFmtId="0" fontId="3" fillId="6" borderId="0" xfId="4" applyFont="1" applyFill="1" applyAlignment="1">
      <alignment horizontal="center" vertical="center"/>
    </xf>
    <xf numFmtId="0" fontId="0" fillId="7" borderId="12" xfId="0" applyFill="1" applyBorder="1" applyAlignment="1">
      <alignment horizontal="left" vertical="top" wrapText="1"/>
    </xf>
    <xf numFmtId="0" fontId="9" fillId="8" borderId="12" xfId="0" applyFont="1" applyFill="1" applyBorder="1" applyAlignment="1">
      <alignment horizontal="center"/>
    </xf>
    <xf numFmtId="0" fontId="0" fillId="6" borderId="0" xfId="0" applyFill="1"/>
    <xf numFmtId="0" fontId="0" fillId="6" borderId="0" xfId="0" applyFill="1" applyAlignment="1">
      <alignment wrapText="1"/>
    </xf>
    <xf numFmtId="0" fontId="5" fillId="0" borderId="0" xfId="0" applyFont="1"/>
    <xf numFmtId="0" fontId="2" fillId="0" borderId="0" xfId="2" applyFont="1" applyBorder="1"/>
    <xf numFmtId="0" fontId="2" fillId="0" borderId="0" xfId="2" applyFont="1" applyAlignment="1"/>
    <xf numFmtId="0" fontId="2" fillId="6" borderId="0" xfId="2" applyFont="1" applyFill="1"/>
    <xf numFmtId="0" fontId="2" fillId="6" borderId="0" xfId="2" applyFont="1" applyFill="1" applyAlignment="1"/>
    <xf numFmtId="0" fontId="5" fillId="0" borderId="0" xfId="0" applyFont="1" applyAlignment="1">
      <alignment horizontal="right"/>
    </xf>
    <xf numFmtId="167" fontId="5" fillId="0" borderId="0" xfId="0" applyNumberFormat="1" applyFont="1"/>
    <xf numFmtId="1" fontId="5" fillId="0" borderId="0" xfId="0" applyNumberFormat="1" applyFont="1"/>
    <xf numFmtId="0" fontId="5" fillId="0" borderId="0" xfId="0" applyFont="1" applyAlignment="1">
      <alignment horizontal="center"/>
    </xf>
    <xf numFmtId="166" fontId="5" fillId="0" borderId="12" xfId="3" applyNumberFormat="1" applyFont="1" applyFill="1" applyBorder="1" applyAlignment="1">
      <alignment horizontal="right" vertical="center" wrapText="1"/>
    </xf>
    <xf numFmtId="0" fontId="2" fillId="6"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2" applyFont="1" applyBorder="1"/>
    <xf numFmtId="0" fontId="2" fillId="0" borderId="4" xfId="2" applyFont="1" applyBorder="1"/>
    <xf numFmtId="168" fontId="2" fillId="0" borderId="12" xfId="3" applyNumberFormat="1" applyFont="1" applyFill="1" applyBorder="1" applyAlignment="1">
      <alignment horizontal="right" vertical="center"/>
    </xf>
    <xf numFmtId="167" fontId="2" fillId="5" borderId="12" xfId="1" applyNumberFormat="1" applyFont="1" applyFill="1" applyBorder="1" applyAlignment="1">
      <alignment horizontal="center" vertical="center" wrapText="1"/>
    </xf>
    <xf numFmtId="9" fontId="2" fillId="0" borderId="12" xfId="2" applyNumberFormat="1" applyFont="1" applyFill="1" applyBorder="1" applyAlignment="1">
      <alignment horizontal="center" vertical="center"/>
    </xf>
    <xf numFmtId="9" fontId="5" fillId="0" borderId="12" xfId="1" applyFont="1" applyFill="1" applyBorder="1" applyAlignment="1">
      <alignment horizontal="center" vertical="center"/>
    </xf>
    <xf numFmtId="0" fontId="2" fillId="6" borderId="0" xfId="4" applyFont="1" applyFill="1"/>
    <xf numFmtId="9" fontId="5" fillId="0" borderId="12" xfId="7" applyNumberFormat="1" applyFont="1" applyFill="1" applyBorder="1" applyAlignment="1">
      <alignment horizontal="center" vertical="center"/>
    </xf>
    <xf numFmtId="0" fontId="5" fillId="6" borderId="12" xfId="2" applyFont="1" applyFill="1" applyBorder="1" applyAlignment="1">
      <alignment horizontal="left" vertical="top" wrapText="1"/>
    </xf>
    <xf numFmtId="0" fontId="2" fillId="0" borderId="12" xfId="2" applyFont="1" applyFill="1" applyBorder="1" applyAlignment="1">
      <alignment horizontal="center" vertical="center" wrapText="1"/>
    </xf>
    <xf numFmtId="0" fontId="5" fillId="0" borderId="12" xfId="2" applyFont="1" applyFill="1" applyBorder="1" applyAlignment="1">
      <alignment horizontal="center" vertical="center" wrapText="1"/>
    </xf>
    <xf numFmtId="167" fontId="2" fillId="5" borderId="12" xfId="2" applyNumberFormat="1" applyFont="1" applyFill="1" applyBorder="1" applyAlignment="1">
      <alignment horizontal="center" vertical="center" wrapText="1"/>
    </xf>
    <xf numFmtId="0" fontId="5" fillId="0" borderId="12" xfId="0" applyFont="1" applyBorder="1" applyAlignment="1">
      <alignment horizontal="center" vertical="center" wrapText="1"/>
    </xf>
    <xf numFmtId="10" fontId="2" fillId="5" borderId="12" xfId="2" applyNumberFormat="1" applyFont="1" applyFill="1" applyBorder="1" applyAlignment="1">
      <alignment horizontal="center" vertical="center" wrapText="1"/>
    </xf>
    <xf numFmtId="0" fontId="5" fillId="0" borderId="12" xfId="7" applyFont="1" applyFill="1" applyBorder="1" applyAlignment="1">
      <alignment horizontal="left" vertical="top" wrapText="1"/>
    </xf>
    <xf numFmtId="0" fontId="5" fillId="0" borderId="0" xfId="0" applyFont="1" applyFill="1"/>
    <xf numFmtId="0" fontId="10" fillId="3" borderId="12" xfId="2" applyFont="1" applyFill="1" applyBorder="1" applyAlignment="1">
      <alignment horizontal="center" vertical="center" wrapText="1"/>
    </xf>
    <xf numFmtId="0" fontId="10"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1" fontId="2" fillId="0" borderId="12" xfId="2" applyNumberFormat="1" applyFont="1" applyFill="1" applyBorder="1" applyAlignment="1">
      <alignment horizontal="center" vertical="center"/>
    </xf>
    <xf numFmtId="167" fontId="3" fillId="0" borderId="12" xfId="2" applyNumberFormat="1" applyFont="1" applyFill="1" applyBorder="1" applyAlignment="1">
      <alignment horizontal="center" vertical="center"/>
    </xf>
    <xf numFmtId="0" fontId="2" fillId="0" borderId="12" xfId="2" applyFont="1" applyFill="1" applyBorder="1" applyAlignment="1">
      <alignment horizontal="center" vertical="center" wrapText="1"/>
    </xf>
    <xf numFmtId="10" fontId="2" fillId="5" borderId="12" xfId="2" applyNumberFormat="1" applyFont="1" applyFill="1" applyBorder="1" applyAlignment="1">
      <alignment horizontal="center" vertical="center" wrapText="1"/>
    </xf>
    <xf numFmtId="0" fontId="5" fillId="0" borderId="12" xfId="2" applyFont="1" applyBorder="1" applyAlignment="1">
      <alignment horizontal="left" vertical="top" wrapText="1"/>
    </xf>
    <xf numFmtId="0" fontId="3" fillId="3" borderId="12" xfId="2" applyFont="1" applyFill="1" applyBorder="1" applyAlignment="1">
      <alignment horizontal="center" vertical="center" wrapText="1"/>
    </xf>
    <xf numFmtId="10" fontId="3" fillId="0" borderId="12" xfId="2" applyNumberFormat="1" applyFont="1" applyFill="1" applyBorder="1" applyAlignment="1">
      <alignment horizontal="center" vertical="center"/>
    </xf>
    <xf numFmtId="9" fontId="2" fillId="0" borderId="12" xfId="1" applyFont="1" applyFill="1" applyBorder="1" applyAlignment="1">
      <alignment horizontal="center" vertical="center" wrapText="1"/>
    </xf>
    <xf numFmtId="9" fontId="2" fillId="5" borderId="12" xfId="1" applyFont="1" applyFill="1" applyBorder="1" applyAlignment="1">
      <alignment horizontal="center" vertical="center"/>
    </xf>
    <xf numFmtId="166" fontId="2" fillId="0" borderId="12" xfId="3" applyNumberFormat="1" applyFont="1" applyFill="1" applyBorder="1" applyAlignment="1">
      <alignment horizontal="center" vertical="center" wrapText="1"/>
    </xf>
    <xf numFmtId="9" fontId="2" fillId="5" borderId="12" xfId="2" applyNumberFormat="1" applyFont="1" applyFill="1" applyBorder="1" applyAlignment="1">
      <alignment horizontal="center" vertical="center"/>
    </xf>
    <xf numFmtId="9" fontId="3" fillId="0" borderId="12" xfId="2" applyNumberFormat="1" applyFont="1" applyFill="1" applyBorder="1" applyAlignment="1">
      <alignment horizontal="center" vertical="center"/>
    </xf>
    <xf numFmtId="0" fontId="3" fillId="3" borderId="12" xfId="2" applyFont="1" applyFill="1" applyBorder="1" applyAlignment="1">
      <alignment horizontal="center" vertical="center"/>
    </xf>
    <xf numFmtId="0" fontId="2" fillId="0" borderId="12" xfId="2" applyFont="1" applyFill="1" applyBorder="1" applyAlignment="1">
      <alignment horizontal="center" vertical="center" wrapText="1"/>
    </xf>
    <xf numFmtId="10" fontId="2" fillId="5" borderId="12" xfId="2" applyNumberFormat="1" applyFont="1" applyFill="1" applyBorder="1" applyAlignment="1">
      <alignment horizontal="center" vertical="center" wrapText="1"/>
    </xf>
    <xf numFmtId="0" fontId="3" fillId="3" borderId="12" xfId="2" applyFont="1" applyFill="1" applyBorder="1" applyAlignment="1">
      <alignment horizontal="center" vertical="center" wrapText="1"/>
    </xf>
    <xf numFmtId="0" fontId="5" fillId="0" borderId="12" xfId="2" applyFont="1" applyFill="1" applyBorder="1" applyAlignment="1">
      <alignment horizontal="center" vertical="center" wrapText="1"/>
    </xf>
    <xf numFmtId="10" fontId="2" fillId="5" borderId="14" xfId="2" applyNumberFormat="1" applyFont="1" applyFill="1" applyBorder="1" applyAlignment="1">
      <alignment horizontal="center" vertical="center" wrapText="1"/>
    </xf>
    <xf numFmtId="0" fontId="2" fillId="0" borderId="14" xfId="2" applyFont="1" applyFill="1" applyBorder="1" applyAlignment="1">
      <alignment horizontal="center" vertical="center" wrapText="1"/>
    </xf>
    <xf numFmtId="10" fontId="11" fillId="0" borderId="12" xfId="0" applyNumberFormat="1" applyFont="1" applyBorder="1" applyAlignment="1">
      <alignment horizontal="center" vertical="center"/>
    </xf>
    <xf numFmtId="0" fontId="2" fillId="0" borderId="12" xfId="2"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2" xfId="2" applyFont="1" applyFill="1" applyBorder="1" applyAlignment="1">
      <alignment horizontal="center" vertical="center" wrapText="1"/>
    </xf>
    <xf numFmtId="10" fontId="2" fillId="5" borderId="12" xfId="2" applyNumberFormat="1" applyFont="1" applyFill="1" applyBorder="1" applyAlignment="1">
      <alignment horizontal="center" vertical="center" wrapText="1"/>
    </xf>
    <xf numFmtId="0" fontId="3" fillId="3" borderId="12" xfId="2" applyFont="1" applyFill="1" applyBorder="1" applyAlignment="1">
      <alignment horizontal="center" vertical="center" wrapText="1"/>
    </xf>
    <xf numFmtId="167" fontId="2" fillId="5" borderId="12" xfId="2" applyNumberFormat="1" applyFont="1" applyFill="1" applyBorder="1" applyAlignment="1">
      <alignment horizontal="center" vertical="center" wrapText="1"/>
    </xf>
    <xf numFmtId="0" fontId="2" fillId="0" borderId="12" xfId="2" applyFont="1" applyBorder="1" applyAlignment="1">
      <alignment horizontal="center" vertical="center" wrapText="1"/>
    </xf>
    <xf numFmtId="0" fontId="10" fillId="3" borderId="12" xfId="2" applyFont="1" applyFill="1" applyBorder="1" applyAlignment="1">
      <alignment horizontal="center" vertical="center"/>
    </xf>
    <xf numFmtId="9" fontId="2" fillId="0" borderId="12" xfId="1" applyFont="1" applyFill="1" applyBorder="1" applyAlignment="1">
      <alignment horizontal="center" vertical="center" wrapText="1"/>
    </xf>
    <xf numFmtId="10" fontId="2" fillId="5" borderId="14" xfId="2" applyNumberFormat="1" applyFont="1" applyFill="1" applyBorder="1" applyAlignment="1">
      <alignment horizontal="center" vertical="center" wrapText="1"/>
    </xf>
    <xf numFmtId="10" fontId="5" fillId="5" borderId="14" xfId="2" applyNumberFormat="1" applyFont="1" applyFill="1" applyBorder="1" applyAlignment="1">
      <alignment horizontal="center" vertical="center"/>
    </xf>
    <xf numFmtId="0" fontId="2" fillId="0" borderId="12" xfId="2" applyFont="1" applyBorder="1" applyAlignment="1">
      <alignment horizontal="left" vertical="top" wrapText="1"/>
    </xf>
    <xf numFmtId="10" fontId="2" fillId="5" borderId="12" xfId="1" applyNumberFormat="1" applyFont="1" applyFill="1" applyBorder="1" applyAlignment="1">
      <alignment horizontal="center" vertical="center" wrapText="1"/>
    </xf>
    <xf numFmtId="0" fontId="5" fillId="0" borderId="12" xfId="2" applyFont="1" applyFill="1" applyBorder="1" applyAlignment="1">
      <alignment horizontal="left" vertical="top" wrapText="1"/>
    </xf>
    <xf numFmtId="9" fontId="2" fillId="0" borderId="12" xfId="1" applyFont="1" applyFill="1" applyBorder="1" applyAlignment="1">
      <alignment horizontal="center" vertical="center"/>
    </xf>
    <xf numFmtId="9" fontId="5" fillId="0" borderId="12" xfId="2" applyNumberFormat="1" applyFont="1" applyFill="1" applyBorder="1" applyAlignment="1">
      <alignment horizontal="center" vertical="center"/>
    </xf>
    <xf numFmtId="0" fontId="2" fillId="0" borderId="14" xfId="2" applyFont="1" applyFill="1" applyBorder="1" applyAlignment="1">
      <alignment horizontal="center" vertical="center" wrapText="1"/>
    </xf>
    <xf numFmtId="10" fontId="2" fillId="5" borderId="14" xfId="1" applyNumberFormat="1" applyFont="1" applyFill="1" applyBorder="1" applyAlignment="1">
      <alignment horizontal="center" vertical="center" wrapText="1"/>
    </xf>
    <xf numFmtId="10" fontId="2" fillId="5" borderId="6" xfId="1" applyNumberFormat="1" applyFont="1" applyFill="1" applyBorder="1" applyAlignment="1">
      <alignment horizontal="center" vertical="center" wrapText="1"/>
    </xf>
    <xf numFmtId="9" fontId="5" fillId="5" borderId="12" xfId="2" applyNumberFormat="1" applyFont="1" applyFill="1" applyBorder="1" applyAlignment="1">
      <alignment horizontal="center" vertical="center"/>
    </xf>
    <xf numFmtId="0" fontId="2" fillId="0" borderId="14" xfId="2" applyFont="1" applyFill="1" applyBorder="1" applyAlignment="1">
      <alignment horizontal="justify" vertical="center" wrapText="1"/>
    </xf>
    <xf numFmtId="169" fontId="2" fillId="0" borderId="10" xfId="2" applyNumberFormat="1" applyFont="1" applyFill="1" applyBorder="1" applyAlignment="1">
      <alignment horizontal="center" vertical="center"/>
    </xf>
    <xf numFmtId="0" fontId="2" fillId="0" borderId="12" xfId="2" applyFont="1" applyFill="1" applyBorder="1" applyAlignment="1">
      <alignment horizontal="center" vertical="center" wrapText="1"/>
    </xf>
    <xf numFmtId="10" fontId="2" fillId="5" borderId="12" xfId="1" applyNumberFormat="1" applyFont="1" applyFill="1" applyBorder="1" applyAlignment="1">
      <alignment horizontal="center" vertical="center" wrapText="1"/>
    </xf>
    <xf numFmtId="10" fontId="2" fillId="5" borderId="12" xfId="2" applyNumberFormat="1" applyFont="1" applyFill="1" applyBorder="1" applyAlignment="1">
      <alignment horizontal="center" vertical="center" wrapText="1"/>
    </xf>
    <xf numFmtId="2" fontId="2" fillId="0" borderId="12" xfId="3" applyNumberFormat="1" applyFont="1" applyFill="1" applyBorder="1" applyAlignment="1">
      <alignment horizontal="center" vertical="center"/>
    </xf>
    <xf numFmtId="9" fontId="2" fillId="0" borderId="12" xfId="2" applyNumberFormat="1" applyFont="1" applyBorder="1" applyAlignment="1">
      <alignment horizontal="center" vertical="center"/>
    </xf>
    <xf numFmtId="10" fontId="5" fillId="5" borderId="12" xfId="2" applyNumberFormat="1" applyFont="1" applyFill="1" applyBorder="1" applyAlignment="1">
      <alignment horizontal="center" vertical="center" wrapText="1"/>
    </xf>
    <xf numFmtId="167" fontId="5" fillId="5" borderId="12" xfId="2" applyNumberFormat="1" applyFont="1" applyFill="1" applyBorder="1" applyAlignment="1">
      <alignment horizontal="center" vertical="center"/>
    </xf>
    <xf numFmtId="9" fontId="2" fillId="6" borderId="12" xfId="1" applyFont="1" applyFill="1" applyBorder="1" applyAlignment="1">
      <alignment horizontal="center" vertical="center"/>
    </xf>
    <xf numFmtId="9" fontId="5" fillId="6" borderId="12" xfId="2" applyNumberFormat="1" applyFont="1" applyFill="1" applyBorder="1" applyAlignment="1">
      <alignment horizontal="center" vertical="center"/>
    </xf>
    <xf numFmtId="2" fontId="2" fillId="0" borderId="14" xfId="2" applyNumberFormat="1" applyFont="1" applyFill="1" applyBorder="1" applyAlignment="1">
      <alignment horizontal="center" vertical="center"/>
    </xf>
    <xf numFmtId="2" fontId="2" fillId="0" borderId="12" xfId="2" applyNumberFormat="1" applyFont="1" applyFill="1" applyBorder="1" applyAlignment="1">
      <alignment horizontal="center" vertical="center"/>
    </xf>
    <xf numFmtId="2" fontId="5" fillId="0" borderId="12" xfId="1" applyNumberFormat="1" applyFont="1" applyFill="1" applyBorder="1" applyAlignment="1">
      <alignment horizontal="center" vertical="center"/>
    </xf>
    <xf numFmtId="0" fontId="15" fillId="7" borderId="6" xfId="4" applyFont="1" applyFill="1" applyBorder="1" applyAlignment="1">
      <alignment horizontal="center" vertical="center"/>
    </xf>
    <xf numFmtId="0" fontId="16" fillId="7" borderId="6" xfId="4" applyFont="1" applyFill="1" applyBorder="1" applyAlignment="1">
      <alignment wrapText="1"/>
    </xf>
    <xf numFmtId="167" fontId="15" fillId="8" borderId="6" xfId="5" applyNumberFormat="1" applyFont="1" applyFill="1" applyBorder="1" applyAlignment="1">
      <alignment horizontal="center" vertical="center"/>
    </xf>
    <xf numFmtId="0" fontId="15" fillId="7" borderId="12" xfId="4" applyFont="1" applyFill="1" applyBorder="1" applyAlignment="1">
      <alignment horizontal="center" vertical="center"/>
    </xf>
    <xf numFmtId="0" fontId="16" fillId="7" borderId="12" xfId="4" applyFont="1" applyFill="1" applyBorder="1" applyAlignment="1">
      <alignment horizontal="left" vertical="top" wrapText="1"/>
    </xf>
    <xf numFmtId="0" fontId="2" fillId="6" borderId="0" xfId="4" applyFont="1" applyFill="1" applyAlignment="1">
      <alignment horizontal="center" vertical="center"/>
    </xf>
    <xf numFmtId="10" fontId="2" fillId="5" borderId="12" xfId="2" applyNumberFormat="1" applyFont="1" applyFill="1" applyBorder="1" applyAlignment="1">
      <alignment horizontal="center" vertical="center" wrapText="1"/>
    </xf>
    <xf numFmtId="167" fontId="2" fillId="5" borderId="6" xfId="2" applyNumberFormat="1" applyFont="1" applyFill="1" applyBorder="1" applyAlignment="1">
      <alignment horizontal="center" vertical="center" wrapText="1"/>
    </xf>
    <xf numFmtId="10" fontId="2" fillId="5" borderId="12" xfId="2" applyNumberFormat="1" applyFont="1" applyFill="1" applyBorder="1" applyAlignment="1">
      <alignment horizontal="center" vertical="center" wrapText="1"/>
    </xf>
    <xf numFmtId="10" fontId="5" fillId="0" borderId="0" xfId="0" applyNumberFormat="1" applyFont="1"/>
    <xf numFmtId="10" fontId="3" fillId="0" borderId="6" xfId="1" applyNumberFormat="1" applyFont="1" applyFill="1" applyBorder="1" applyAlignment="1">
      <alignment horizontal="center" vertical="center" wrapText="1"/>
    </xf>
    <xf numFmtId="10" fontId="5" fillId="5" borderId="12" xfId="2" applyNumberFormat="1" applyFont="1" applyFill="1" applyBorder="1" applyAlignment="1">
      <alignment horizontal="center" vertical="center"/>
    </xf>
    <xf numFmtId="9" fontId="2" fillId="5" borderId="12" xfId="2" applyNumberFormat="1" applyFont="1" applyFill="1" applyBorder="1" applyAlignment="1">
      <alignment horizontal="center" vertical="center" wrapText="1"/>
    </xf>
    <xf numFmtId="167" fontId="11" fillId="0" borderId="12" xfId="0" applyNumberFormat="1" applyFont="1" applyBorder="1" applyAlignment="1">
      <alignment horizontal="center" vertical="center"/>
    </xf>
    <xf numFmtId="0" fontId="2" fillId="0" borderId="14"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12" xfId="2" applyFont="1" applyFill="1" applyBorder="1" applyAlignment="1">
      <alignment horizontal="center" vertical="center" wrapText="1"/>
    </xf>
    <xf numFmtId="169" fontId="2" fillId="0" borderId="12" xfId="2" applyNumberFormat="1" applyFont="1" applyFill="1" applyBorder="1" applyAlignment="1">
      <alignment horizontal="center" vertical="center"/>
    </xf>
    <xf numFmtId="10" fontId="2" fillId="5" borderId="12" xfId="2" applyNumberFormat="1" applyFont="1" applyFill="1" applyBorder="1" applyAlignment="1">
      <alignment horizontal="center" vertical="center" wrapText="1"/>
    </xf>
    <xf numFmtId="10" fontId="5" fillId="5" borderId="12" xfId="2" applyNumberFormat="1" applyFont="1" applyFill="1" applyBorder="1" applyAlignment="1">
      <alignment horizontal="center" vertical="center"/>
    </xf>
    <xf numFmtId="0" fontId="3" fillId="3" borderId="12" xfId="2" applyFont="1" applyFill="1" applyBorder="1" applyAlignment="1">
      <alignment horizontal="center" vertical="center" wrapText="1"/>
    </xf>
    <xf numFmtId="10" fontId="2" fillId="5" borderId="12" xfId="1" applyNumberFormat="1" applyFont="1" applyFill="1" applyBorder="1" applyAlignment="1">
      <alignment horizontal="center" vertical="center" wrapText="1"/>
    </xf>
    <xf numFmtId="10" fontId="2" fillId="5" borderId="14" xfId="2" applyNumberFormat="1" applyFont="1" applyFill="1" applyBorder="1" applyAlignment="1">
      <alignment horizontal="center" vertical="center" wrapText="1"/>
    </xf>
    <xf numFmtId="171" fontId="2" fillId="0" borderId="12" xfId="2" applyNumberFormat="1" applyFont="1" applyFill="1" applyBorder="1" applyAlignment="1">
      <alignment horizontal="center" vertical="center"/>
    </xf>
    <xf numFmtId="0" fontId="5" fillId="0" borderId="12" xfId="0" applyFont="1" applyBorder="1" applyAlignment="1">
      <alignment horizontal="center" vertical="center" wrapText="1"/>
    </xf>
    <xf numFmtId="0" fontId="5" fillId="0" borderId="12" xfId="2" applyFont="1" applyFill="1" applyBorder="1" applyAlignment="1">
      <alignment horizontal="center" vertical="center" wrapText="1"/>
    </xf>
    <xf numFmtId="0" fontId="2" fillId="0" borderId="14" xfId="2" applyFont="1" applyFill="1" applyBorder="1" applyAlignment="1">
      <alignment horizontal="center" vertical="center" wrapText="1"/>
    </xf>
    <xf numFmtId="0" fontId="10" fillId="3" borderId="12" xfId="2" applyFont="1" applyFill="1" applyBorder="1" applyAlignment="1">
      <alignment horizontal="center" vertical="center"/>
    </xf>
    <xf numFmtId="167" fontId="2" fillId="5" borderId="12" xfId="2" applyNumberFormat="1" applyFont="1" applyFill="1" applyBorder="1" applyAlignment="1">
      <alignment horizontal="center" vertical="center" wrapText="1"/>
    </xf>
    <xf numFmtId="2" fontId="2" fillId="0" borderId="12" xfId="3" applyNumberFormat="1" applyFont="1" applyFill="1" applyBorder="1" applyAlignment="1">
      <alignment horizontal="center" vertical="center"/>
    </xf>
    <xf numFmtId="9" fontId="2" fillId="0" borderId="12" xfId="1" applyFont="1" applyFill="1" applyBorder="1" applyAlignment="1">
      <alignment horizontal="center" vertical="center"/>
    </xf>
    <xf numFmtId="0" fontId="3" fillId="3" borderId="12" xfId="2" applyFont="1" applyFill="1" applyBorder="1" applyAlignment="1">
      <alignment horizontal="center" vertical="center"/>
    </xf>
    <xf numFmtId="0" fontId="17" fillId="0" borderId="0" xfId="0" applyFont="1" applyAlignment="1">
      <alignment horizontal="right" wrapText="1"/>
    </xf>
    <xf numFmtId="0" fontId="17" fillId="0" borderId="0" xfId="0" applyFont="1" applyAlignment="1">
      <alignment wrapText="1"/>
    </xf>
    <xf numFmtId="0" fontId="18" fillId="6" borderId="0" xfId="2" applyFont="1" applyFill="1" applyAlignment="1">
      <alignment horizontal="right" wrapText="1"/>
    </xf>
    <xf numFmtId="0" fontId="18" fillId="0" borderId="0" xfId="2" applyFont="1" applyAlignment="1">
      <alignment horizontal="right" wrapText="1"/>
    </xf>
    <xf numFmtId="0" fontId="18" fillId="0" borderId="0" xfId="2" applyFont="1" applyBorder="1" applyAlignment="1">
      <alignment horizontal="right" wrapText="1"/>
    </xf>
    <xf numFmtId="0" fontId="2" fillId="0" borderId="12" xfId="2" applyFont="1" applyFill="1" applyBorder="1" applyAlignment="1">
      <alignment horizontal="center" vertical="center" wrapText="1"/>
    </xf>
    <xf numFmtId="0" fontId="3" fillId="3" borderId="12" xfId="2" applyFont="1" applyFill="1" applyBorder="1" applyAlignment="1">
      <alignment horizontal="center" vertical="center" wrapText="1"/>
    </xf>
    <xf numFmtId="10" fontId="5" fillId="5" borderId="12" xfId="2" applyNumberFormat="1" applyFont="1" applyFill="1" applyBorder="1" applyAlignment="1">
      <alignment horizontal="center" vertical="center"/>
    </xf>
    <xf numFmtId="10" fontId="2" fillId="5" borderId="12" xfId="2" applyNumberFormat="1" applyFont="1" applyFill="1" applyBorder="1" applyAlignment="1">
      <alignment horizontal="center" vertical="center" wrapText="1"/>
    </xf>
    <xf numFmtId="0" fontId="5" fillId="0" borderId="12" xfId="2" applyFont="1" applyFill="1" applyBorder="1" applyAlignment="1">
      <alignment horizontal="center" vertical="center" wrapText="1"/>
    </xf>
    <xf numFmtId="9" fontId="2" fillId="5" borderId="12" xfId="1" applyFont="1" applyFill="1" applyBorder="1" applyAlignment="1">
      <alignment horizontal="center" vertical="center" wrapText="1"/>
    </xf>
    <xf numFmtId="167" fontId="2" fillId="5" borderId="12" xfId="2" applyNumberFormat="1" applyFont="1" applyFill="1" applyBorder="1" applyAlignment="1">
      <alignment horizontal="center" vertical="center" wrapText="1"/>
    </xf>
    <xf numFmtId="1" fontId="2" fillId="0" borderId="12" xfId="3" applyNumberFormat="1" applyFont="1" applyFill="1" applyBorder="1" applyAlignment="1">
      <alignment horizontal="center" vertical="center"/>
    </xf>
    <xf numFmtId="9" fontId="2" fillId="5" borderId="12" xfId="2" applyNumberFormat="1" applyFont="1" applyFill="1" applyBorder="1" applyAlignment="1">
      <alignment horizontal="center" vertical="center" wrapText="1"/>
    </xf>
    <xf numFmtId="9" fontId="2" fillId="0" borderId="12" xfId="1" applyFont="1" applyFill="1" applyBorder="1" applyAlignment="1">
      <alignment horizontal="center" vertical="center"/>
    </xf>
    <xf numFmtId="0" fontId="3" fillId="3" borderId="12" xfId="2" applyFont="1" applyFill="1" applyBorder="1" applyAlignment="1">
      <alignment horizontal="center" vertical="center"/>
    </xf>
    <xf numFmtId="9" fontId="2" fillId="5" borderId="12" xfId="1" applyNumberFormat="1" applyFont="1" applyFill="1" applyBorder="1" applyAlignment="1">
      <alignment horizontal="center" vertical="center" wrapText="1"/>
    </xf>
    <xf numFmtId="10" fontId="1" fillId="5" borderId="12" xfId="1" applyNumberFormat="1" applyFont="1" applyFill="1" applyBorder="1" applyAlignment="1">
      <alignment horizontal="center" vertical="center"/>
    </xf>
    <xf numFmtId="0" fontId="5" fillId="0" borderId="0" xfId="0" applyFont="1" applyAlignment="1">
      <alignment horizontal="right" wrapText="1"/>
    </xf>
    <xf numFmtId="0" fontId="2" fillId="0" borderId="12" xfId="2" applyFont="1" applyFill="1" applyBorder="1" applyAlignment="1">
      <alignment horizontal="center" vertical="center" wrapText="1"/>
    </xf>
    <xf numFmtId="0" fontId="5" fillId="0" borderId="12" xfId="2" applyFont="1" applyBorder="1" applyAlignment="1">
      <alignment horizontal="left" vertical="top" wrapText="1"/>
    </xf>
    <xf numFmtId="0" fontId="2" fillId="0" borderId="12" xfId="2" applyFont="1" applyFill="1" applyBorder="1" applyAlignment="1">
      <alignment horizontal="center" vertical="center" wrapText="1"/>
    </xf>
    <xf numFmtId="1" fontId="2" fillId="0" borderId="14" xfId="2" applyNumberFormat="1" applyFont="1" applyFill="1" applyBorder="1" applyAlignment="1">
      <alignment horizontal="center" vertical="center"/>
    </xf>
    <xf numFmtId="10" fontId="2" fillId="5" borderId="12" xfId="2" applyNumberFormat="1" applyFont="1" applyFill="1" applyBorder="1" applyAlignment="1">
      <alignment horizontal="center" vertical="center" wrapText="1"/>
    </xf>
    <xf numFmtId="10" fontId="2" fillId="0" borderId="0" xfId="2" applyNumberFormat="1" applyFont="1"/>
    <xf numFmtId="9" fontId="5" fillId="0" borderId="0" xfId="0" applyNumberFormat="1" applyFont="1"/>
    <xf numFmtId="0" fontId="2" fillId="0" borderId="12" xfId="2" applyFont="1" applyFill="1" applyBorder="1" applyAlignment="1">
      <alignment horizontal="center" vertical="center" wrapText="1"/>
    </xf>
    <xf numFmtId="0" fontId="2" fillId="0" borderId="14" xfId="2" applyFont="1" applyFill="1" applyBorder="1" applyAlignment="1">
      <alignment horizontal="center" vertical="center" wrapText="1"/>
    </xf>
    <xf numFmtId="10" fontId="2" fillId="6" borderId="0" xfId="2" applyNumberFormat="1" applyFont="1" applyFill="1"/>
    <xf numFmtId="0" fontId="5" fillId="0" borderId="12" xfId="0" applyFont="1" applyBorder="1" applyAlignment="1">
      <alignment horizontal="left" vertical="top" wrapText="1"/>
    </xf>
    <xf numFmtId="10" fontId="2" fillId="5" borderId="12" xfId="2" applyNumberFormat="1" applyFont="1" applyFill="1" applyBorder="1" applyAlignment="1">
      <alignment horizontal="center" vertical="center" wrapText="1"/>
    </xf>
    <xf numFmtId="0" fontId="10" fillId="3" borderId="12" xfId="2" applyFont="1" applyFill="1" applyBorder="1" applyAlignment="1">
      <alignment horizontal="center" vertical="center"/>
    </xf>
    <xf numFmtId="168" fontId="2" fillId="0" borderId="12" xfId="3" applyNumberFormat="1" applyFont="1" applyFill="1" applyBorder="1" applyAlignment="1">
      <alignment horizontal="center" vertical="center"/>
    </xf>
    <xf numFmtId="0" fontId="2" fillId="6" borderId="12" xfId="2" applyFont="1" applyFill="1" applyBorder="1" applyAlignment="1">
      <alignment horizontal="left" vertical="top" wrapText="1"/>
    </xf>
    <xf numFmtId="0" fontId="6" fillId="4" borderId="12" xfId="4" applyFont="1" applyFill="1" applyBorder="1" applyAlignment="1">
      <alignment horizontal="center" vertical="center"/>
    </xf>
    <xf numFmtId="9" fontId="6" fillId="4" borderId="12" xfId="4" applyNumberFormat="1" applyFont="1" applyFill="1" applyBorder="1" applyAlignment="1">
      <alignment horizontal="center" vertical="center"/>
    </xf>
    <xf numFmtId="0" fontId="4" fillId="4" borderId="19" xfId="4" applyFont="1" applyFill="1" applyBorder="1" applyAlignment="1">
      <alignment horizontal="center" vertical="center"/>
    </xf>
    <xf numFmtId="167" fontId="5" fillId="5" borderId="22" xfId="2" applyNumberFormat="1" applyFont="1" applyFill="1" applyBorder="1" applyAlignment="1">
      <alignment horizontal="center" vertical="center"/>
    </xf>
    <xf numFmtId="9" fontId="2" fillId="0" borderId="12" xfId="0" applyNumberFormat="1" applyFont="1" applyBorder="1" applyAlignment="1">
      <alignment horizontal="left" vertical="top" wrapText="1"/>
    </xf>
    <xf numFmtId="0" fontId="2" fillId="0" borderId="12" xfId="2" applyFont="1" applyFill="1" applyBorder="1" applyAlignment="1">
      <alignment horizontal="center" vertical="center" wrapText="1"/>
    </xf>
    <xf numFmtId="167" fontId="15" fillId="8" borderId="12" xfId="5" applyNumberFormat="1" applyFont="1" applyFill="1" applyBorder="1" applyAlignment="1">
      <alignment horizontal="center" vertical="center"/>
    </xf>
    <xf numFmtId="9" fontId="2" fillId="5" borderId="12" xfId="1" applyNumberFormat="1" applyFont="1" applyFill="1" applyBorder="1" applyAlignment="1">
      <alignment horizontal="center" vertical="center" wrapText="1"/>
    </xf>
    <xf numFmtId="9" fontId="2" fillId="5" borderId="12" xfId="2" applyNumberFormat="1" applyFont="1" applyFill="1" applyBorder="1" applyAlignment="1">
      <alignment horizontal="center" vertical="center" wrapText="1"/>
    </xf>
    <xf numFmtId="9" fontId="5" fillId="0" borderId="12" xfId="2" applyNumberFormat="1" applyFont="1" applyFill="1" applyBorder="1" applyAlignment="1">
      <alignment horizontal="center" vertical="center"/>
    </xf>
    <xf numFmtId="0" fontId="2" fillId="0" borderId="12" xfId="0" applyFont="1" applyBorder="1" applyAlignment="1">
      <alignment vertical="top" wrapText="1"/>
    </xf>
    <xf numFmtId="10" fontId="2" fillId="5" borderId="12" xfId="2" applyNumberFormat="1" applyFont="1" applyFill="1" applyBorder="1" applyAlignment="1">
      <alignment horizontal="center" vertical="center" wrapText="1"/>
    </xf>
    <xf numFmtId="0" fontId="5" fillId="0" borderId="12" xfId="2" applyFont="1" applyBorder="1" applyAlignment="1">
      <alignment horizontal="left" vertical="top" wrapText="1"/>
    </xf>
    <xf numFmtId="0" fontId="2" fillId="0" borderId="12" xfId="2" applyFont="1" applyBorder="1" applyAlignment="1">
      <alignment horizontal="left" vertical="top" wrapText="1"/>
    </xf>
    <xf numFmtId="0" fontId="2" fillId="0" borderId="12" xfId="2" applyFont="1" applyFill="1" applyBorder="1" applyAlignment="1">
      <alignment horizontal="left" vertical="top" wrapText="1"/>
    </xf>
    <xf numFmtId="9" fontId="5" fillId="0" borderId="12" xfId="1" applyNumberFormat="1" applyFont="1" applyFill="1" applyBorder="1" applyAlignment="1">
      <alignment horizontal="center" vertical="center" wrapText="1"/>
    </xf>
    <xf numFmtId="0" fontId="2" fillId="0" borderId="12" xfId="2" applyFont="1" applyBorder="1" applyAlignment="1">
      <alignment horizontal="left" vertical="top" wrapText="1"/>
    </xf>
    <xf numFmtId="0" fontId="5" fillId="0" borderId="12" xfId="0" applyFont="1" applyBorder="1" applyAlignment="1">
      <alignment horizontal="center" vertical="center" wrapText="1"/>
    </xf>
    <xf numFmtId="0" fontId="2" fillId="0" borderId="14" xfId="2" applyFont="1" applyFill="1" applyBorder="1" applyAlignment="1">
      <alignment horizontal="center" vertical="center" wrapText="1"/>
    </xf>
    <xf numFmtId="2" fontId="2" fillId="0" borderId="14" xfId="3" applyNumberFormat="1" applyFont="1" applyFill="1" applyBorder="1" applyAlignment="1">
      <alignment horizontal="center" vertical="center"/>
    </xf>
    <xf numFmtId="2" fontId="2" fillId="0" borderId="12" xfId="3" applyNumberFormat="1" applyFont="1" applyFill="1" applyBorder="1" applyAlignment="1">
      <alignment horizontal="center" vertical="center"/>
    </xf>
    <xf numFmtId="9" fontId="2" fillId="0" borderId="12" xfId="1" applyFont="1" applyFill="1" applyBorder="1" applyAlignment="1">
      <alignment horizontal="center" vertical="center"/>
    </xf>
    <xf numFmtId="0" fontId="5" fillId="0" borderId="12" xfId="0" applyFont="1" applyBorder="1" applyAlignment="1">
      <alignment horizontal="center" vertical="center"/>
    </xf>
    <xf numFmtId="171" fontId="5" fillId="0" borderId="12" xfId="0" applyNumberFormat="1" applyFont="1" applyBorder="1" applyAlignment="1">
      <alignment horizontal="center" vertical="center"/>
    </xf>
    <xf numFmtId="168" fontId="5" fillId="0" borderId="12" xfId="3" applyNumberFormat="1" applyFont="1" applyBorder="1" applyAlignment="1">
      <alignment horizontal="center" vertical="center"/>
    </xf>
    <xf numFmtId="0" fontId="2" fillId="0" borderId="12" xfId="2" applyFont="1" applyBorder="1" applyAlignment="1">
      <alignment horizontal="left" vertical="top" wrapText="1"/>
    </xf>
    <xf numFmtId="0" fontId="2" fillId="0" borderId="12" xfId="2" applyFont="1" applyFill="1" applyBorder="1" applyAlignment="1">
      <alignment horizontal="left" vertical="top" wrapText="1"/>
    </xf>
    <xf numFmtId="0" fontId="5" fillId="0" borderId="12" xfId="2" applyFont="1" applyBorder="1" applyAlignment="1">
      <alignment horizontal="left" vertical="top" wrapText="1"/>
    </xf>
    <xf numFmtId="0" fontId="2" fillId="0" borderId="12" xfId="2" applyFont="1" applyBorder="1" applyAlignment="1">
      <alignment horizontal="left" vertical="top" wrapText="1"/>
    </xf>
    <xf numFmtId="0" fontId="2" fillId="0" borderId="12" xfId="2" applyFont="1" applyFill="1" applyBorder="1" applyAlignment="1">
      <alignment horizontal="left" vertical="top" wrapText="1"/>
    </xf>
    <xf numFmtId="0" fontId="2" fillId="0" borderId="12" xfId="2" applyFont="1" applyBorder="1" applyAlignment="1">
      <alignment horizontal="left" vertical="top" wrapText="1"/>
    </xf>
    <xf numFmtId="10" fontId="2" fillId="5" borderId="12" xfId="2" applyNumberFormat="1" applyFont="1" applyFill="1" applyBorder="1" applyAlignment="1">
      <alignment horizontal="center" vertical="center" wrapText="1"/>
    </xf>
    <xf numFmtId="0" fontId="2" fillId="0" borderId="12" xfId="2" applyFont="1" applyBorder="1" applyAlignment="1">
      <alignment horizontal="center" vertical="center" wrapText="1"/>
    </xf>
    <xf numFmtId="0" fontId="5" fillId="0" borderId="12" xfId="2" applyFont="1" applyFill="1" applyBorder="1" applyAlignment="1">
      <alignment horizontal="center" vertical="center" wrapText="1"/>
    </xf>
    <xf numFmtId="0" fontId="2" fillId="0" borderId="12" xfId="2" applyFont="1" applyFill="1" applyBorder="1" applyAlignment="1">
      <alignment horizontal="left" vertical="top" wrapText="1"/>
    </xf>
    <xf numFmtId="0" fontId="2" fillId="0" borderId="12" xfId="2" applyFont="1" applyBorder="1" applyAlignment="1">
      <alignment horizontal="left" vertical="top" wrapText="1"/>
    </xf>
    <xf numFmtId="0" fontId="2" fillId="0" borderId="12" xfId="2" applyFont="1" applyFill="1" applyBorder="1" applyAlignment="1">
      <alignment horizontal="left" vertical="top" wrapText="1"/>
    </xf>
    <xf numFmtId="0" fontId="2" fillId="0" borderId="14" xfId="2" applyNumberFormat="1" applyFont="1" applyBorder="1" applyAlignment="1">
      <alignment horizontal="left" vertical="top" wrapText="1"/>
    </xf>
    <xf numFmtId="0" fontId="5" fillId="0" borderId="12" xfId="2" applyFont="1" applyBorder="1" applyAlignment="1">
      <alignment horizontal="left" vertical="top" wrapText="1"/>
    </xf>
    <xf numFmtId="10" fontId="3" fillId="0" borderId="12" xfId="2" applyNumberFormat="1" applyFont="1" applyBorder="1" applyAlignment="1">
      <alignment horizontal="center"/>
    </xf>
    <xf numFmtId="0" fontId="2" fillId="0" borderId="12" xfId="2" applyFont="1" applyFill="1" applyBorder="1" applyAlignment="1">
      <alignment horizontal="center" vertical="center" wrapText="1"/>
    </xf>
    <xf numFmtId="170" fontId="2" fillId="0" borderId="0" xfId="2" applyNumberFormat="1" applyFont="1"/>
    <xf numFmtId="0" fontId="3" fillId="6" borderId="12" xfId="4" applyFont="1" applyFill="1" applyBorder="1"/>
    <xf numFmtId="9" fontId="4" fillId="6" borderId="12" xfId="4" applyNumberFormat="1" applyFont="1" applyFill="1" applyBorder="1" applyAlignment="1">
      <alignment horizontal="center"/>
    </xf>
    <xf numFmtId="0" fontId="2" fillId="0" borderId="12" xfId="2" applyFont="1" applyBorder="1" applyAlignment="1">
      <alignment horizontal="center"/>
    </xf>
    <xf numFmtId="0" fontId="3" fillId="3" borderId="12" xfId="2" applyFont="1" applyFill="1" applyBorder="1" applyAlignment="1">
      <alignment horizontal="center" vertical="center" wrapText="1"/>
    </xf>
    <xf numFmtId="0" fontId="3" fillId="4" borderId="12" xfId="2" applyFont="1" applyFill="1" applyBorder="1" applyAlignment="1">
      <alignment horizontal="center" vertical="center" wrapText="1"/>
    </xf>
    <xf numFmtId="0" fontId="5" fillId="0" borderId="12" xfId="0" applyFont="1" applyBorder="1" applyAlignment="1">
      <alignment horizontal="center"/>
    </xf>
    <xf numFmtId="9" fontId="2" fillId="5" borderId="12" xfId="2" applyNumberFormat="1" applyFont="1" applyFill="1" applyBorder="1" applyAlignment="1">
      <alignment horizontal="center" vertical="center" wrapText="1"/>
    </xf>
    <xf numFmtId="0" fontId="5" fillId="0" borderId="12" xfId="0" applyFont="1" applyBorder="1" applyAlignment="1">
      <alignment horizontal="center"/>
    </xf>
    <xf numFmtId="0" fontId="3" fillId="3" borderId="12" xfId="2" applyFont="1" applyFill="1" applyBorder="1" applyAlignment="1">
      <alignment horizontal="center" vertical="center" wrapText="1"/>
    </xf>
    <xf numFmtId="169" fontId="2" fillId="0" borderId="12" xfId="2" applyNumberFormat="1" applyFont="1" applyFill="1" applyBorder="1" applyAlignment="1">
      <alignment horizontal="center" vertical="center"/>
    </xf>
    <xf numFmtId="0" fontId="3" fillId="4" borderId="12" xfId="2" applyFont="1" applyFill="1" applyBorder="1" applyAlignment="1">
      <alignment horizontal="center" vertical="center" wrapText="1"/>
    </xf>
    <xf numFmtId="0" fontId="2" fillId="0" borderId="12" xfId="2" applyFont="1" applyBorder="1" applyAlignment="1">
      <alignment horizontal="center"/>
    </xf>
    <xf numFmtId="0" fontId="5" fillId="0" borderId="12" xfId="2" applyFont="1" applyFill="1" applyBorder="1" applyAlignment="1">
      <alignment horizontal="center" vertical="center" wrapText="1"/>
    </xf>
    <xf numFmtId="9" fontId="2" fillId="5" borderId="12" xfId="2" applyNumberFormat="1" applyFont="1" applyFill="1" applyBorder="1" applyAlignment="1">
      <alignment horizontal="center" vertical="center" wrapText="1"/>
    </xf>
    <xf numFmtId="167" fontId="2" fillId="5" borderId="12" xfId="2" applyNumberFormat="1" applyFont="1" applyFill="1" applyBorder="1" applyAlignment="1">
      <alignment horizontal="center" vertical="center" wrapText="1"/>
    </xf>
    <xf numFmtId="0" fontId="14" fillId="0" borderId="12" xfId="0" applyFont="1" applyBorder="1" applyAlignment="1">
      <alignment horizontal="center" vertical="center" wrapText="1"/>
    </xf>
    <xf numFmtId="9" fontId="5" fillId="0" borderId="12" xfId="1" applyFont="1" applyFill="1" applyBorder="1" applyAlignment="1">
      <alignment horizontal="center" vertical="center" wrapText="1"/>
    </xf>
    <xf numFmtId="1" fontId="2" fillId="0" borderId="12" xfId="3" applyNumberFormat="1" applyFont="1" applyFill="1" applyBorder="1" applyAlignment="1">
      <alignment horizontal="center" vertical="center"/>
    </xf>
    <xf numFmtId="0" fontId="2" fillId="0" borderId="5" xfId="2" applyFont="1" applyBorder="1" applyAlignment="1">
      <alignment horizontal="center" vertical="center" wrapText="1"/>
    </xf>
    <xf numFmtId="9" fontId="2" fillId="0" borderId="5" xfId="1" applyFont="1" applyBorder="1" applyAlignment="1">
      <alignment horizontal="center" vertical="center" wrapText="1"/>
    </xf>
    <xf numFmtId="4" fontId="5" fillId="0" borderId="12" xfId="7" applyNumberFormat="1" applyFont="1" applyBorder="1" applyAlignment="1">
      <alignment horizontal="center" vertical="center" wrapText="1"/>
    </xf>
    <xf numFmtId="0" fontId="2" fillId="0" borderId="5" xfId="2" applyFont="1" applyBorder="1" applyAlignment="1">
      <alignment horizontal="center"/>
    </xf>
    <xf numFmtId="9" fontId="2" fillId="0" borderId="12" xfId="1" applyFont="1" applyFill="1" applyBorder="1" applyAlignment="1">
      <alignment horizontal="center" vertical="center"/>
    </xf>
    <xf numFmtId="9" fontId="2" fillId="0" borderId="5" xfId="1" applyFont="1" applyBorder="1" applyAlignment="1">
      <alignment horizontal="center" vertical="center" wrapText="1"/>
    </xf>
    <xf numFmtId="0" fontId="2" fillId="0" borderId="5" xfId="2" applyFont="1" applyBorder="1" applyAlignment="1">
      <alignment horizontal="center" vertical="center" wrapText="1"/>
    </xf>
    <xf numFmtId="0" fontId="3" fillId="3" borderId="12" xfId="2" applyFont="1" applyFill="1" applyBorder="1" applyAlignment="1">
      <alignment horizontal="right" vertical="center" wrapText="1"/>
    </xf>
    <xf numFmtId="171" fontId="14" fillId="0" borderId="12" xfId="0" applyNumberFormat="1" applyFont="1" applyBorder="1" applyAlignment="1">
      <alignment horizontal="center" vertical="center" wrapText="1"/>
    </xf>
    <xf numFmtId="172" fontId="2" fillId="5" borderId="12" xfId="2" applyNumberFormat="1" applyFont="1" applyFill="1" applyBorder="1" applyAlignment="1">
      <alignment horizontal="center" vertical="center" wrapText="1"/>
    </xf>
    <xf numFmtId="2" fontId="5" fillId="0" borderId="12" xfId="2" applyNumberFormat="1" applyFont="1" applyFill="1" applyBorder="1" applyAlignment="1">
      <alignment horizontal="center" vertical="center" wrapText="1"/>
    </xf>
    <xf numFmtId="0" fontId="3" fillId="4" borderId="5" xfId="2" applyFont="1" applyFill="1" applyBorder="1" applyAlignment="1">
      <alignment horizontal="center" vertical="center" wrapText="1"/>
    </xf>
    <xf numFmtId="0" fontId="3" fillId="3" borderId="12" xfId="2" applyFont="1" applyFill="1" applyBorder="1" applyAlignment="1">
      <alignment horizontal="center" vertical="center" wrapText="1"/>
    </xf>
    <xf numFmtId="10" fontId="2" fillId="5" borderId="12" xfId="2" applyNumberFormat="1" applyFont="1" applyFill="1" applyBorder="1" applyAlignment="1">
      <alignment horizontal="center" vertical="center" wrapText="1"/>
    </xf>
    <xf numFmtId="10" fontId="2" fillId="5" borderId="14" xfId="2" applyNumberFormat="1"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12" xfId="2" applyFont="1" applyBorder="1" applyAlignment="1">
      <alignment horizontal="center" vertical="center" wrapText="1"/>
    </xf>
    <xf numFmtId="9" fontId="2" fillId="5" borderId="12" xfId="2" applyNumberFormat="1" applyFont="1" applyFill="1" applyBorder="1" applyAlignment="1">
      <alignment horizontal="center" vertical="center" wrapText="1"/>
    </xf>
    <xf numFmtId="0" fontId="2" fillId="0" borderId="14" xfId="2" applyFont="1" applyFill="1" applyBorder="1" applyAlignment="1">
      <alignment horizontal="center" vertical="center" wrapText="1"/>
    </xf>
    <xf numFmtId="9" fontId="2" fillId="0" borderId="14" xfId="1" applyFont="1" applyFill="1" applyBorder="1" applyAlignment="1">
      <alignment horizontal="center" vertical="center" wrapText="1"/>
    </xf>
    <xf numFmtId="0" fontId="2" fillId="0" borderId="5" xfId="2" applyFont="1" applyBorder="1" applyAlignment="1">
      <alignment horizontal="center"/>
    </xf>
    <xf numFmtId="0" fontId="2" fillId="0" borderId="12" xfId="2" applyFont="1" applyBorder="1" applyAlignment="1">
      <alignment horizontal="center"/>
    </xf>
    <xf numFmtId="0" fontId="2" fillId="0" borderId="12" xfId="2" applyFont="1" applyFill="1" applyBorder="1" applyAlignment="1">
      <alignment horizontal="left" vertical="top" wrapText="1"/>
    </xf>
    <xf numFmtId="0" fontId="3" fillId="4" borderId="12" xfId="2" applyFont="1" applyFill="1" applyBorder="1" applyAlignment="1">
      <alignment horizontal="center" vertical="center" wrapText="1"/>
    </xf>
    <xf numFmtId="0" fontId="2" fillId="0" borderId="5" xfId="2" applyFont="1" applyBorder="1" applyAlignment="1">
      <alignment horizontal="center" vertical="center" wrapText="1"/>
    </xf>
    <xf numFmtId="3" fontId="2" fillId="0" borderId="16" xfId="2" applyNumberFormat="1" applyFont="1" applyFill="1" applyBorder="1" applyAlignment="1">
      <alignment horizontal="center" vertical="center" wrapText="1"/>
    </xf>
    <xf numFmtId="9" fontId="2" fillId="0" borderId="5" xfId="1" applyFont="1" applyBorder="1" applyAlignment="1">
      <alignment horizontal="center" vertical="center" wrapText="1"/>
    </xf>
    <xf numFmtId="1" fontId="2" fillId="0" borderId="5" xfId="2" applyNumberFormat="1" applyFont="1" applyFill="1" applyBorder="1" applyAlignment="1">
      <alignment horizontal="center" vertical="center" wrapText="1"/>
    </xf>
    <xf numFmtId="9" fontId="2" fillId="5" borderId="12" xfId="1" applyNumberFormat="1" applyFont="1" applyFill="1" applyBorder="1" applyAlignment="1">
      <alignment horizontal="center" vertical="center"/>
    </xf>
    <xf numFmtId="167" fontId="2" fillId="0" borderId="5" xfId="1" applyNumberFormat="1" applyFont="1" applyBorder="1" applyAlignment="1">
      <alignment horizontal="center" vertical="center" wrapText="1"/>
    </xf>
    <xf numFmtId="0" fontId="5" fillId="0" borderId="12" xfId="0" applyFont="1" applyBorder="1" applyAlignment="1">
      <alignment horizontal="justify" vertical="top" wrapText="1"/>
    </xf>
    <xf numFmtId="3" fontId="2" fillId="0" borderId="22" xfId="3" applyNumberFormat="1" applyFont="1" applyFill="1" applyBorder="1" applyAlignment="1">
      <alignment vertical="center" wrapText="1"/>
    </xf>
    <xf numFmtId="0" fontId="2" fillId="0" borderId="22" xfId="2" applyFont="1" applyFill="1" applyBorder="1" applyAlignment="1">
      <alignment vertical="center" wrapText="1"/>
    </xf>
    <xf numFmtId="3" fontId="2" fillId="0" borderId="14" xfId="2" applyNumberFormat="1" applyFont="1" applyFill="1" applyBorder="1" applyAlignment="1">
      <alignment horizontal="center" vertical="center" wrapText="1"/>
    </xf>
    <xf numFmtId="10" fontId="2" fillId="0" borderId="14" xfId="2" applyNumberFormat="1" applyFont="1" applyFill="1" applyBorder="1" applyAlignment="1">
      <alignment horizontal="center" vertical="center" wrapText="1"/>
    </xf>
    <xf numFmtId="9" fontId="2" fillId="0" borderId="14" xfId="2" applyNumberFormat="1" applyFont="1" applyFill="1" applyBorder="1" applyAlignment="1">
      <alignment horizontal="center" vertical="center" wrapText="1"/>
    </xf>
    <xf numFmtId="172" fontId="2" fillId="5" borderId="14" xfId="2" applyNumberFormat="1" applyFont="1" applyFill="1" applyBorder="1" applyAlignment="1">
      <alignment horizontal="center" vertical="center" wrapText="1"/>
    </xf>
    <xf numFmtId="9" fontId="2" fillId="0" borderId="0" xfId="1" applyNumberFormat="1" applyFont="1"/>
    <xf numFmtId="0" fontId="9" fillId="4" borderId="12" xfId="0" applyFont="1" applyFill="1" applyBorder="1" applyAlignment="1">
      <alignment horizontal="center" wrapText="1"/>
    </xf>
    <xf numFmtId="0" fontId="8" fillId="4" borderId="2" xfId="4" applyFont="1" applyFill="1" applyBorder="1" applyAlignment="1">
      <alignment horizontal="center" vertical="center"/>
    </xf>
    <xf numFmtId="0" fontId="8" fillId="4" borderId="15" xfId="4" applyFont="1" applyFill="1" applyBorder="1" applyAlignment="1">
      <alignment horizontal="center" vertical="center"/>
    </xf>
    <xf numFmtId="0" fontId="8" fillId="4" borderId="3" xfId="4"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3" fillId="0" borderId="17"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0"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3" fillId="2" borderId="12" xfId="2" applyFont="1" applyFill="1" applyBorder="1" applyAlignment="1">
      <alignment horizontal="center" vertical="center" wrapText="1" shrinkToFit="1"/>
    </xf>
    <xf numFmtId="0" fontId="3" fillId="0" borderId="12" xfId="2" applyFont="1" applyBorder="1" applyAlignment="1">
      <alignment horizontal="left" vertical="center" wrapText="1"/>
    </xf>
    <xf numFmtId="0" fontId="3" fillId="0" borderId="22" xfId="2" applyFont="1" applyFill="1" applyBorder="1" applyAlignment="1">
      <alignment horizontal="left" vertical="center" wrapText="1"/>
    </xf>
    <xf numFmtId="0" fontId="3" fillId="0" borderId="23" xfId="2" applyFont="1" applyFill="1" applyBorder="1" applyAlignment="1">
      <alignment horizontal="left" vertical="center" wrapText="1"/>
    </xf>
    <xf numFmtId="0" fontId="3" fillId="0" borderId="5" xfId="2" applyFont="1" applyFill="1" applyBorder="1" applyAlignment="1">
      <alignment horizontal="left"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10" fontId="2" fillId="5" borderId="12" xfId="1" applyNumberFormat="1" applyFont="1" applyFill="1" applyBorder="1" applyAlignment="1">
      <alignment horizontal="center" vertical="center" wrapText="1"/>
    </xf>
    <xf numFmtId="0" fontId="3" fillId="5" borderId="12"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3" fillId="3" borderId="12" xfId="2" applyFont="1" applyFill="1" applyBorder="1" applyAlignment="1">
      <alignment horizontal="center" vertical="center" wrapText="1"/>
    </xf>
    <xf numFmtId="169" fontId="2" fillId="0" borderId="12" xfId="2" applyNumberFormat="1" applyFont="1" applyFill="1" applyBorder="1" applyAlignment="1">
      <alignment horizontal="center" vertical="center"/>
    </xf>
    <xf numFmtId="0" fontId="3" fillId="0" borderId="12" xfId="2" applyFont="1" applyFill="1" applyBorder="1" applyAlignment="1">
      <alignment horizontal="center" vertical="center" wrapText="1"/>
    </xf>
    <xf numFmtId="0" fontId="2" fillId="0" borderId="12" xfId="2" applyFont="1" applyBorder="1" applyAlignment="1">
      <alignment wrapText="1"/>
    </xf>
    <xf numFmtId="0" fontId="3" fillId="5" borderId="12" xfId="2" applyFont="1" applyFill="1" applyBorder="1" applyAlignment="1">
      <alignment horizontal="left" vertical="center" wrapText="1"/>
    </xf>
    <xf numFmtId="0" fontId="0" fillId="0" borderId="12" xfId="0" applyBorder="1"/>
    <xf numFmtId="10" fontId="2" fillId="5" borderId="12" xfId="2" applyNumberFormat="1" applyFont="1" applyFill="1" applyBorder="1" applyAlignment="1">
      <alignment horizontal="center" vertical="center" wrapText="1"/>
    </xf>
    <xf numFmtId="0" fontId="2" fillId="0" borderId="14" xfId="2" applyFont="1" applyFill="1" applyBorder="1" applyAlignment="1">
      <alignment horizontal="left" vertical="top" wrapText="1"/>
    </xf>
    <xf numFmtId="0" fontId="3" fillId="0" borderId="6" xfId="2" applyFont="1" applyFill="1" applyBorder="1" applyAlignment="1">
      <alignment horizontal="left" vertical="top" wrapText="1"/>
    </xf>
    <xf numFmtId="10" fontId="5" fillId="5" borderId="12" xfId="2" applyNumberFormat="1" applyFont="1" applyFill="1" applyBorder="1" applyAlignment="1">
      <alignment horizontal="center" vertical="center"/>
    </xf>
    <xf numFmtId="171" fontId="2" fillId="0" borderId="12" xfId="2" applyNumberFormat="1" applyFont="1" applyFill="1" applyBorder="1" applyAlignment="1">
      <alignment horizontal="center" vertical="center"/>
    </xf>
    <xf numFmtId="10" fontId="2" fillId="5" borderId="14" xfId="2" applyNumberFormat="1" applyFont="1" applyFill="1" applyBorder="1" applyAlignment="1">
      <alignment horizontal="center" vertical="center" wrapText="1"/>
    </xf>
    <xf numFmtId="10" fontId="2" fillId="5" borderId="10" xfId="2" applyNumberFormat="1" applyFont="1" applyFill="1" applyBorder="1" applyAlignment="1">
      <alignment horizontal="center" vertical="center" wrapText="1"/>
    </xf>
    <xf numFmtId="10" fontId="2" fillId="5" borderId="6" xfId="2"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2" xfId="2" applyFont="1" applyFill="1" applyBorder="1" applyAlignment="1">
      <alignment horizontal="center" vertical="center" wrapText="1"/>
    </xf>
    <xf numFmtId="0" fontId="3" fillId="0" borderId="12" xfId="2" applyFont="1" applyFill="1" applyBorder="1" applyAlignment="1">
      <alignment horizontal="right" vertical="center" wrapText="1"/>
    </xf>
    <xf numFmtId="0" fontId="2" fillId="0" borderId="22"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12" xfId="2" applyFont="1" applyBorder="1" applyAlignment="1">
      <alignment horizontal="center" vertical="center" wrapText="1"/>
    </xf>
    <xf numFmtId="10" fontId="2" fillId="5" borderId="14" xfId="1" applyNumberFormat="1" applyFont="1" applyFill="1" applyBorder="1" applyAlignment="1">
      <alignment horizontal="center" vertical="center" wrapText="1"/>
    </xf>
    <xf numFmtId="10" fontId="2" fillId="5" borderId="6" xfId="1" applyNumberFormat="1" applyFont="1" applyFill="1" applyBorder="1" applyAlignment="1">
      <alignment horizontal="center" vertical="center" wrapText="1"/>
    </xf>
    <xf numFmtId="0" fontId="2" fillId="0" borderId="12" xfId="2" applyFont="1" applyBorder="1" applyAlignment="1">
      <alignment horizontal="left" vertical="top" wrapText="1"/>
    </xf>
    <xf numFmtId="9" fontId="2" fillId="5" borderId="12" xfId="1" applyFont="1" applyFill="1" applyBorder="1" applyAlignment="1">
      <alignment horizontal="center" vertical="center" wrapText="1"/>
    </xf>
    <xf numFmtId="0" fontId="2" fillId="0" borderId="14" xfId="2" applyFont="1" applyBorder="1" applyAlignment="1">
      <alignment horizontal="center" vertical="center" wrapText="1"/>
    </xf>
    <xf numFmtId="0" fontId="2" fillId="0" borderId="6" xfId="2" applyFont="1" applyBorder="1" applyAlignment="1">
      <alignment horizontal="center" vertical="center" wrapText="1"/>
    </xf>
    <xf numFmtId="0" fontId="10" fillId="3" borderId="12" xfId="2" applyFont="1" applyFill="1" applyBorder="1" applyAlignment="1">
      <alignment horizontal="center" vertical="center"/>
    </xf>
    <xf numFmtId="167" fontId="2" fillId="5" borderId="12" xfId="2" applyNumberFormat="1" applyFont="1" applyFill="1" applyBorder="1" applyAlignment="1">
      <alignment horizontal="center" vertical="center" wrapText="1"/>
    </xf>
    <xf numFmtId="9" fontId="2" fillId="5" borderId="12" xfId="2" applyNumberFormat="1" applyFont="1" applyFill="1" applyBorder="1" applyAlignment="1">
      <alignment horizontal="center" vertical="center" wrapText="1"/>
    </xf>
    <xf numFmtId="168" fontId="2" fillId="0" borderId="12" xfId="3" applyNumberFormat="1" applyFont="1" applyFill="1" applyBorder="1" applyAlignment="1">
      <alignment horizontal="center" vertical="center"/>
    </xf>
    <xf numFmtId="9" fontId="2" fillId="5" borderId="14" xfId="2" applyNumberFormat="1" applyFont="1" applyFill="1" applyBorder="1" applyAlignment="1">
      <alignment horizontal="center" vertical="center" wrapText="1"/>
    </xf>
    <xf numFmtId="9" fontId="2" fillId="5" borderId="6" xfId="2" applyNumberFormat="1"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6" xfId="2" applyFont="1" applyFill="1" applyBorder="1" applyAlignment="1">
      <alignment horizontal="center" vertical="center" wrapText="1"/>
    </xf>
    <xf numFmtId="1" fontId="2" fillId="0" borderId="12" xfId="3" applyNumberFormat="1" applyFont="1" applyFill="1" applyBorder="1" applyAlignment="1">
      <alignment horizontal="center" vertical="center"/>
    </xf>
    <xf numFmtId="0" fontId="2" fillId="0" borderId="14" xfId="2" applyFont="1" applyFill="1" applyBorder="1" applyAlignment="1">
      <alignment horizontal="center" vertical="center" wrapText="1"/>
    </xf>
    <xf numFmtId="0" fontId="2" fillId="0" borderId="6" xfId="2" applyFont="1" applyFill="1" applyBorder="1" applyAlignment="1">
      <alignment horizontal="center" vertical="center" wrapText="1"/>
    </xf>
    <xf numFmtId="2" fontId="2" fillId="0" borderId="14" xfId="3" applyNumberFormat="1" applyFont="1" applyFill="1" applyBorder="1" applyAlignment="1">
      <alignment horizontal="center" vertical="center"/>
    </xf>
    <xf numFmtId="2" fontId="2" fillId="0" borderId="6" xfId="3" applyNumberFormat="1" applyFont="1" applyFill="1" applyBorder="1" applyAlignment="1">
      <alignment horizontal="center" vertical="center"/>
    </xf>
    <xf numFmtId="9" fontId="0" fillId="0" borderId="12" xfId="0" applyNumberFormat="1" applyBorder="1"/>
    <xf numFmtId="0" fontId="2" fillId="0" borderId="17" xfId="2" applyFont="1" applyFill="1" applyBorder="1" applyAlignment="1">
      <alignment horizontal="center" vertical="center" wrapText="1"/>
    </xf>
    <xf numFmtId="0" fontId="2" fillId="0" borderId="16" xfId="2" applyFont="1" applyFill="1" applyBorder="1" applyAlignment="1">
      <alignment horizontal="center" vertical="center" wrapText="1"/>
    </xf>
    <xf numFmtId="0" fontId="2" fillId="0" borderId="14" xfId="2" applyFont="1" applyBorder="1" applyAlignment="1">
      <alignment horizontal="left" vertical="top" wrapText="1"/>
    </xf>
    <xf numFmtId="0" fontId="2" fillId="0" borderId="6" xfId="2" applyFont="1" applyBorder="1" applyAlignment="1">
      <alignment horizontal="left" vertical="top" wrapText="1"/>
    </xf>
    <xf numFmtId="0" fontId="5" fillId="0" borderId="10" xfId="0" applyFont="1" applyBorder="1" applyAlignment="1">
      <alignment horizontal="center" vertical="center" wrapText="1"/>
    </xf>
    <xf numFmtId="0" fontId="5" fillId="0" borderId="14" xfId="2" applyFont="1" applyBorder="1" applyAlignment="1">
      <alignment horizontal="left" vertical="top" wrapText="1"/>
    </xf>
    <xf numFmtId="0" fontId="5" fillId="0" borderId="6" xfId="2" applyFont="1" applyBorder="1" applyAlignment="1">
      <alignment horizontal="left" vertical="top" wrapText="1"/>
    </xf>
    <xf numFmtId="9" fontId="2" fillId="0" borderId="12" xfId="1" applyFont="1" applyFill="1" applyBorder="1" applyAlignment="1">
      <alignment horizontal="center" vertical="center" wrapText="1"/>
    </xf>
    <xf numFmtId="0" fontId="5" fillId="0" borderId="12" xfId="2" applyFont="1" applyBorder="1" applyAlignment="1">
      <alignment horizontal="left" vertical="top" wrapText="1"/>
    </xf>
    <xf numFmtId="9" fontId="2" fillId="5" borderId="12" xfId="1" applyNumberFormat="1" applyFont="1" applyFill="1" applyBorder="1" applyAlignment="1">
      <alignment horizontal="center" vertical="center" wrapText="1"/>
    </xf>
    <xf numFmtId="9" fontId="2" fillId="0" borderId="14" xfId="1" applyFont="1" applyFill="1" applyBorder="1" applyAlignment="1">
      <alignment horizontal="center" vertical="center" wrapText="1"/>
    </xf>
    <xf numFmtId="9" fontId="2" fillId="0" borderId="6" xfId="1" applyFont="1" applyFill="1" applyBorder="1" applyAlignment="1">
      <alignment horizontal="center" vertical="center" wrapText="1"/>
    </xf>
    <xf numFmtId="0" fontId="2" fillId="0" borderId="10" xfId="2" applyFont="1" applyFill="1" applyBorder="1" applyAlignment="1">
      <alignment horizontal="center" vertical="center" wrapText="1"/>
    </xf>
    <xf numFmtId="167" fontId="2" fillId="0" borderId="12" xfId="2" applyNumberFormat="1" applyFont="1" applyFill="1" applyBorder="1" applyAlignment="1">
      <alignment horizontal="center" vertical="center" wrapText="1"/>
    </xf>
    <xf numFmtId="1" fontId="2" fillId="0" borderId="14" xfId="2" applyNumberFormat="1" applyFont="1" applyFill="1" applyBorder="1" applyAlignment="1">
      <alignment horizontal="center" vertical="center" wrapText="1"/>
    </xf>
    <xf numFmtId="1" fontId="2" fillId="0" borderId="6" xfId="2" applyNumberFormat="1" applyFont="1" applyFill="1" applyBorder="1" applyAlignment="1">
      <alignment horizontal="center" vertical="center" wrapText="1"/>
    </xf>
    <xf numFmtId="10" fontId="5" fillId="5" borderId="14" xfId="2" applyNumberFormat="1" applyFont="1" applyFill="1" applyBorder="1" applyAlignment="1">
      <alignment horizontal="center" vertical="center"/>
    </xf>
    <xf numFmtId="10" fontId="5" fillId="5" borderId="6" xfId="2" applyNumberFormat="1" applyFont="1" applyFill="1" applyBorder="1" applyAlignment="1">
      <alignment horizontal="center" vertical="center"/>
    </xf>
    <xf numFmtId="9" fontId="2" fillId="5" borderId="14" xfId="1" applyFont="1" applyFill="1" applyBorder="1" applyAlignment="1">
      <alignment horizontal="center" vertical="center" wrapText="1"/>
    </xf>
    <xf numFmtId="9" fontId="2" fillId="5" borderId="6" xfId="1" applyFont="1" applyFill="1" applyBorder="1" applyAlignment="1">
      <alignment horizontal="center" vertical="center" wrapText="1"/>
    </xf>
    <xf numFmtId="0" fontId="2" fillId="0" borderId="14" xfId="2" applyFont="1" applyFill="1" applyBorder="1" applyAlignment="1">
      <alignment horizontal="left" vertical="center" wrapText="1"/>
    </xf>
    <xf numFmtId="0" fontId="0" fillId="0" borderId="6" xfId="0" applyBorder="1" applyAlignment="1">
      <alignment horizontal="left"/>
    </xf>
    <xf numFmtId="0" fontId="2" fillId="0" borderId="10" xfId="2" applyFont="1" applyBorder="1" applyAlignment="1">
      <alignment horizontal="center" vertical="center" wrapText="1"/>
    </xf>
    <xf numFmtId="0" fontId="2" fillId="0" borderId="22" xfId="2" applyFont="1" applyBorder="1" applyAlignment="1">
      <alignment horizontal="center"/>
    </xf>
    <xf numFmtId="0" fontId="2" fillId="0" borderId="23" xfId="2" applyFont="1" applyBorder="1" applyAlignment="1">
      <alignment horizontal="center"/>
    </xf>
    <xf numFmtId="0" fontId="2" fillId="0" borderId="5" xfId="2" applyFont="1" applyBorder="1" applyAlignment="1">
      <alignment horizontal="center"/>
    </xf>
    <xf numFmtId="169" fontId="2" fillId="0" borderId="14" xfId="2" applyNumberFormat="1" applyFont="1" applyFill="1" applyBorder="1" applyAlignment="1">
      <alignment horizontal="center" vertical="center"/>
    </xf>
    <xf numFmtId="169" fontId="2" fillId="0" borderId="6" xfId="2" applyNumberFormat="1" applyFont="1" applyFill="1" applyBorder="1" applyAlignment="1">
      <alignment horizontal="center" vertical="center"/>
    </xf>
    <xf numFmtId="2" fontId="2" fillId="0" borderId="12" xfId="3" applyNumberFormat="1" applyFont="1" applyFill="1" applyBorder="1" applyAlignment="1">
      <alignment horizontal="center" vertical="center"/>
    </xf>
    <xf numFmtId="170" fontId="5" fillId="0" borderId="14" xfId="9" applyNumberFormat="1" applyFont="1" applyBorder="1" applyAlignment="1">
      <alignment horizontal="center" vertical="center"/>
    </xf>
    <xf numFmtId="170" fontId="5" fillId="0" borderId="6" xfId="9" applyNumberFormat="1"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2" fillId="0" borderId="12" xfId="2" applyFont="1" applyBorder="1" applyAlignment="1">
      <alignment horizontal="center"/>
    </xf>
    <xf numFmtId="0" fontId="11" fillId="7" borderId="12" xfId="0" applyFont="1" applyFill="1" applyBorder="1" applyAlignment="1">
      <alignment horizontal="left" vertical="center" wrapText="1"/>
    </xf>
    <xf numFmtId="167" fontId="2" fillId="0" borderId="12" xfId="1" applyNumberFormat="1" applyFont="1" applyFill="1" applyBorder="1" applyAlignment="1">
      <alignment horizontal="center" vertical="center" wrapText="1"/>
    </xf>
    <xf numFmtId="9" fontId="5" fillId="0" borderId="14" xfId="1" applyFont="1" applyFill="1" applyBorder="1" applyAlignment="1">
      <alignment horizontal="center" vertical="center" wrapText="1"/>
    </xf>
    <xf numFmtId="9" fontId="5" fillId="0" borderId="6" xfId="1" applyFont="1" applyFill="1" applyBorder="1" applyAlignment="1">
      <alignment horizontal="center" vertical="center" wrapText="1"/>
    </xf>
    <xf numFmtId="167" fontId="2" fillId="5" borderId="12" xfId="1" applyNumberFormat="1" applyFont="1" applyFill="1" applyBorder="1" applyAlignment="1">
      <alignment horizontal="center" vertical="center" wrapText="1"/>
    </xf>
    <xf numFmtId="9" fontId="2" fillId="0" borderId="12" xfId="1" applyFont="1" applyFill="1" applyBorder="1" applyAlignment="1">
      <alignment horizontal="center" vertical="center"/>
    </xf>
    <xf numFmtId="0" fontId="0" fillId="0" borderId="12" xfId="0" applyBorder="1" applyAlignment="1">
      <alignment horizontal="center" vertical="center" wrapText="1"/>
    </xf>
    <xf numFmtId="0" fontId="2" fillId="0" borderId="12" xfId="2" applyFont="1" applyFill="1" applyBorder="1" applyAlignment="1">
      <alignment horizontal="left" vertical="top" wrapText="1"/>
    </xf>
    <xf numFmtId="0" fontId="5" fillId="0" borderId="12" xfId="0" applyFont="1" applyBorder="1" applyAlignment="1">
      <alignment horizontal="right"/>
    </xf>
    <xf numFmtId="0" fontId="0" fillId="0" borderId="12" xfId="0" applyBorder="1" applyAlignment="1">
      <alignment horizontal="center"/>
    </xf>
    <xf numFmtId="0" fontId="2" fillId="6" borderId="1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0" borderId="14"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4" xfId="2" applyFont="1" applyBorder="1" applyAlignment="1">
      <alignment horizontal="center" vertical="center"/>
    </xf>
    <xf numFmtId="0" fontId="2" fillId="0" borderId="10" xfId="2" applyFont="1" applyBorder="1" applyAlignment="1">
      <alignment horizontal="center" vertical="center"/>
    </xf>
    <xf numFmtId="0" fontId="2" fillId="0" borderId="6" xfId="2" applyFont="1" applyBorder="1" applyAlignment="1">
      <alignment horizontal="center" vertical="center"/>
    </xf>
    <xf numFmtId="10" fontId="5" fillId="5" borderId="14" xfId="2" applyNumberFormat="1" applyFont="1" applyFill="1" applyBorder="1" applyAlignment="1">
      <alignment horizontal="center" vertical="center" wrapText="1"/>
    </xf>
    <xf numFmtId="10" fontId="5" fillId="5" borderId="6" xfId="2" applyNumberFormat="1" applyFont="1" applyFill="1" applyBorder="1" applyAlignment="1">
      <alignment horizontal="center" vertical="center" wrapText="1"/>
    </xf>
    <xf numFmtId="167" fontId="5" fillId="5" borderId="14" xfId="2" applyNumberFormat="1" applyFont="1" applyFill="1" applyBorder="1" applyAlignment="1">
      <alignment horizontal="center" vertical="center"/>
    </xf>
    <xf numFmtId="167" fontId="5" fillId="5" borderId="6" xfId="2" applyNumberFormat="1" applyFont="1" applyFill="1" applyBorder="1" applyAlignment="1">
      <alignment horizontal="center" vertical="center"/>
    </xf>
    <xf numFmtId="0" fontId="2" fillId="0" borderId="12" xfId="0" applyFont="1" applyBorder="1" applyAlignment="1">
      <alignment horizontal="left" vertical="top" wrapText="1"/>
    </xf>
    <xf numFmtId="167" fontId="5" fillId="5" borderId="17" xfId="2" applyNumberFormat="1" applyFont="1" applyFill="1" applyBorder="1" applyAlignment="1">
      <alignment horizontal="center" vertical="center"/>
    </xf>
    <xf numFmtId="167" fontId="5" fillId="5" borderId="13" xfId="2" applyNumberFormat="1" applyFont="1" applyFill="1" applyBorder="1" applyAlignment="1">
      <alignment horizontal="center" vertical="center"/>
    </xf>
    <xf numFmtId="0" fontId="3" fillId="0" borderId="12" xfId="2" applyFont="1" applyBorder="1" applyAlignment="1">
      <alignment horizontal="right"/>
    </xf>
    <xf numFmtId="0" fontId="5" fillId="0" borderId="12" xfId="0" applyFont="1" applyBorder="1" applyAlignment="1">
      <alignment wrapText="1"/>
    </xf>
    <xf numFmtId="0" fontId="2" fillId="0" borderId="12" xfId="2" applyFont="1" applyFill="1" applyBorder="1" applyAlignment="1">
      <alignment horizontal="left" vertical="center" wrapText="1"/>
    </xf>
    <xf numFmtId="0" fontId="3" fillId="3" borderId="12" xfId="2" applyFont="1" applyFill="1" applyBorder="1" applyAlignment="1">
      <alignment horizontal="center" vertical="center"/>
    </xf>
    <xf numFmtId="0" fontId="2" fillId="5" borderId="6" xfId="2" applyFont="1" applyFill="1" applyBorder="1" applyAlignment="1">
      <alignment horizontal="center" vertical="center" wrapText="1"/>
    </xf>
    <xf numFmtId="2" fontId="2" fillId="0" borderId="12" xfId="9" applyNumberFormat="1" applyFont="1" applyFill="1" applyBorder="1" applyAlignment="1">
      <alignment horizontal="center" vertical="center"/>
    </xf>
    <xf numFmtId="2" fontId="0" fillId="0" borderId="12" xfId="9" applyNumberFormat="1" applyFont="1" applyBorder="1"/>
    <xf numFmtId="170" fontId="2" fillId="0" borderId="12" xfId="9" applyNumberFormat="1" applyFont="1" applyFill="1" applyBorder="1" applyAlignment="1">
      <alignment horizontal="center" vertical="center"/>
    </xf>
    <xf numFmtId="170" fontId="0" fillId="0" borderId="12" xfId="9" applyNumberFormat="1" applyFont="1" applyBorder="1"/>
    <xf numFmtId="170" fontId="2" fillId="0" borderId="6" xfId="9" applyNumberFormat="1" applyFont="1" applyFill="1" applyBorder="1" applyAlignment="1">
      <alignment horizontal="center" vertical="center"/>
    </xf>
    <xf numFmtId="9" fontId="2" fillId="0" borderId="14" xfId="1" applyFont="1" applyBorder="1" applyAlignment="1">
      <alignment horizontal="center" vertical="center" wrapText="1"/>
    </xf>
    <xf numFmtId="9" fontId="2" fillId="0" borderId="6" xfId="1" applyFont="1" applyBorder="1" applyAlignment="1">
      <alignment horizontal="center" vertical="center" wrapText="1"/>
    </xf>
    <xf numFmtId="0" fontId="3" fillId="0" borderId="12" xfId="2" applyFont="1" applyBorder="1" applyAlignment="1">
      <alignment horizontal="center" vertical="top" wrapText="1"/>
    </xf>
    <xf numFmtId="3" fontId="2" fillId="0" borderId="14" xfId="3" applyNumberFormat="1" applyFont="1" applyFill="1" applyBorder="1" applyAlignment="1">
      <alignment horizontal="center" vertical="center" wrapText="1"/>
    </xf>
    <xf numFmtId="3" fontId="2" fillId="0" borderId="6" xfId="3" applyNumberFormat="1" applyFont="1" applyFill="1" applyBorder="1" applyAlignment="1">
      <alignment horizontal="center" vertical="center" wrapText="1"/>
    </xf>
    <xf numFmtId="3" fontId="2" fillId="0" borderId="14" xfId="2" applyNumberFormat="1" applyFont="1" applyFill="1" applyBorder="1" applyAlignment="1">
      <alignment horizontal="center" vertical="center" wrapText="1"/>
    </xf>
    <xf numFmtId="3" fontId="2" fillId="0" borderId="6" xfId="2" applyNumberFormat="1" applyFont="1" applyFill="1" applyBorder="1" applyAlignment="1">
      <alignment horizontal="center" vertical="center" wrapText="1"/>
    </xf>
    <xf numFmtId="0" fontId="2" fillId="6" borderId="14" xfId="2" applyFont="1" applyFill="1" applyBorder="1" applyAlignment="1">
      <alignment horizontal="left" vertical="top" wrapText="1"/>
    </xf>
    <xf numFmtId="0" fontId="2" fillId="6" borderId="6" xfId="2" applyFont="1" applyFill="1" applyBorder="1" applyAlignment="1">
      <alignment horizontal="left" vertical="top" wrapText="1"/>
    </xf>
    <xf numFmtId="0" fontId="2" fillId="5" borderId="12" xfId="2" applyFont="1" applyFill="1" applyBorder="1" applyAlignment="1">
      <alignment horizontal="center" vertical="center" wrapText="1"/>
    </xf>
    <xf numFmtId="0" fontId="3" fillId="5" borderId="22" xfId="2" applyFont="1" applyFill="1" applyBorder="1" applyAlignment="1">
      <alignment horizontal="left" vertical="center" wrapText="1"/>
    </xf>
    <xf numFmtId="0" fontId="3" fillId="5" borderId="23" xfId="2" applyFont="1" applyFill="1" applyBorder="1" applyAlignment="1">
      <alignment horizontal="left" vertical="center" wrapText="1"/>
    </xf>
    <xf numFmtId="0" fontId="3" fillId="5" borderId="5" xfId="2" applyFont="1" applyFill="1" applyBorder="1" applyAlignment="1">
      <alignment horizontal="left" vertical="center" wrapText="1"/>
    </xf>
    <xf numFmtId="0" fontId="3" fillId="5" borderId="22" xfId="2" applyFont="1" applyFill="1" applyBorder="1" applyAlignment="1">
      <alignment horizontal="left" vertical="top" wrapText="1"/>
    </xf>
    <xf numFmtId="0" fontId="3" fillId="5" borderId="23" xfId="2" applyFont="1" applyFill="1" applyBorder="1" applyAlignment="1">
      <alignment horizontal="left" vertical="top" wrapText="1"/>
    </xf>
    <xf numFmtId="0" fontId="3" fillId="5" borderId="5" xfId="2" applyFont="1" applyFill="1" applyBorder="1" applyAlignment="1">
      <alignment horizontal="left" vertical="top" wrapText="1"/>
    </xf>
    <xf numFmtId="0" fontId="2" fillId="0" borderId="6" xfId="2" applyFont="1" applyFill="1" applyBorder="1" applyAlignment="1">
      <alignment horizontal="left" vertical="top" wrapText="1"/>
    </xf>
    <xf numFmtId="0" fontId="0" fillId="0" borderId="10" xfId="0" applyBorder="1"/>
    <xf numFmtId="0" fontId="0" fillId="0" borderId="6" xfId="0" applyBorder="1"/>
    <xf numFmtId="10" fontId="2" fillId="5" borderId="10" xfId="1" applyNumberFormat="1" applyFont="1" applyFill="1" applyBorder="1" applyAlignment="1">
      <alignment horizontal="center" vertical="center" wrapText="1"/>
    </xf>
    <xf numFmtId="10" fontId="1" fillId="0" borderId="12" xfId="1" applyNumberFormat="1" applyFont="1" applyBorder="1"/>
    <xf numFmtId="0" fontId="5" fillId="0" borderId="12" xfId="0" applyFont="1" applyBorder="1"/>
    <xf numFmtId="0" fontId="2" fillId="0" borderId="11"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13" xfId="2" applyFont="1" applyFill="1" applyBorder="1" applyAlignment="1">
      <alignment horizontal="center" vertical="center" wrapText="1"/>
    </xf>
    <xf numFmtId="0" fontId="2" fillId="0" borderId="8" xfId="2" applyFont="1" applyFill="1" applyBorder="1" applyAlignment="1">
      <alignment horizontal="center" vertical="center" wrapText="1"/>
    </xf>
    <xf numFmtId="168" fontId="5" fillId="0" borderId="14" xfId="3" applyNumberFormat="1" applyFont="1" applyBorder="1" applyAlignment="1">
      <alignment horizontal="center" vertical="center"/>
    </xf>
    <xf numFmtId="168" fontId="5" fillId="0" borderId="6" xfId="3" applyNumberFormat="1" applyFont="1" applyBorder="1" applyAlignment="1">
      <alignment horizontal="center" vertical="center"/>
    </xf>
    <xf numFmtId="0" fontId="2" fillId="0" borderId="14" xfId="2" applyNumberFormat="1" applyFont="1" applyBorder="1" applyAlignment="1">
      <alignment horizontal="left" vertical="top" wrapText="1"/>
    </xf>
    <xf numFmtId="0" fontId="2" fillId="0" borderId="6" xfId="2" applyNumberFormat="1" applyFont="1" applyBorder="1" applyAlignment="1">
      <alignment horizontal="left" vertical="top" wrapText="1"/>
    </xf>
    <xf numFmtId="9" fontId="2" fillId="5" borderId="10" xfId="2" applyNumberFormat="1" applyFont="1" applyFill="1" applyBorder="1" applyAlignment="1">
      <alignment horizontal="center" vertical="center" wrapText="1"/>
    </xf>
  </cellXfs>
  <cellStyles count="24">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Millares" xfId="3" builtinId="3"/>
    <cellStyle name="Millares [0] 2" xfId="6"/>
    <cellStyle name="Moneda" xfId="9" builtinId="4"/>
    <cellStyle name="Moneda 2" xfId="10"/>
    <cellStyle name="Moneda 2 2" xfId="11"/>
    <cellStyle name="Normal" xfId="0" builtinId="0"/>
    <cellStyle name="Normal 2" xfId="2"/>
    <cellStyle name="Normal 2 2" xfId="7"/>
    <cellStyle name="Normal 3" xfId="4"/>
    <cellStyle name="Normal 3 2" xfId="8"/>
    <cellStyle name="Porcentaje" xfId="1" builtinId="5"/>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1277303</xdr:colOff>
      <xdr:row>0</xdr:row>
      <xdr:rowOff>131584</xdr:rowOff>
    </xdr:from>
    <xdr:to>
      <xdr:col>1</xdr:col>
      <xdr:colOff>1266266</xdr:colOff>
      <xdr:row>2</xdr:row>
      <xdr:rowOff>112059</xdr:rowOff>
    </xdr:to>
    <xdr:pic>
      <xdr:nvPicPr>
        <xdr:cNvPr id="3" name="2 Imagen" descr="telemedellin">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303" y="131584"/>
          <a:ext cx="2017228" cy="60800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986518</xdr:colOff>
      <xdr:row>0</xdr:row>
      <xdr:rowOff>90715</xdr:rowOff>
    </xdr:from>
    <xdr:to>
      <xdr:col>2</xdr:col>
      <xdr:colOff>340179</xdr:colOff>
      <xdr:row>2</xdr:row>
      <xdr:rowOff>133654</xdr:rowOff>
    </xdr:to>
    <xdr:pic>
      <xdr:nvPicPr>
        <xdr:cNvPr id="2" name="1 Imagen" descr="telemedellin">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518" y="90715"/>
          <a:ext cx="2134961" cy="385839"/>
        </a:xfrm>
        <a:prstGeom prst="rect">
          <a:avLst/>
        </a:prstGeom>
        <a:noFill/>
        <a:ln>
          <a:noFill/>
        </a:ln>
      </xdr:spPr>
    </xdr:pic>
    <xdr:clientData/>
  </xdr:twoCellAnchor>
  <xdr:twoCellAnchor editAs="oneCell">
    <xdr:from>
      <xdr:col>0</xdr:col>
      <xdr:colOff>986518</xdr:colOff>
      <xdr:row>0</xdr:row>
      <xdr:rowOff>90715</xdr:rowOff>
    </xdr:from>
    <xdr:to>
      <xdr:col>2</xdr:col>
      <xdr:colOff>340179</xdr:colOff>
      <xdr:row>2</xdr:row>
      <xdr:rowOff>133654</xdr:rowOff>
    </xdr:to>
    <xdr:pic>
      <xdr:nvPicPr>
        <xdr:cNvPr id="3" name="2 Imagen" descr="telemedellin">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518" y="90715"/>
          <a:ext cx="2134961" cy="385839"/>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809625</xdr:colOff>
      <xdr:row>0</xdr:row>
      <xdr:rowOff>38100</xdr:rowOff>
    </xdr:from>
    <xdr:to>
      <xdr:col>2</xdr:col>
      <xdr:colOff>333375</xdr:colOff>
      <xdr:row>2</xdr:row>
      <xdr:rowOff>76200</xdr:rowOff>
    </xdr:to>
    <xdr:pic>
      <xdr:nvPicPr>
        <xdr:cNvPr id="2" name="1 Imagen" descr="telemedellin">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09625" y="38100"/>
          <a:ext cx="2133600" cy="381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1098177</xdr:colOff>
      <xdr:row>0</xdr:row>
      <xdr:rowOff>22412</xdr:rowOff>
    </xdr:from>
    <xdr:to>
      <xdr:col>1</xdr:col>
      <xdr:colOff>1602442</xdr:colOff>
      <xdr:row>2</xdr:row>
      <xdr:rowOff>123265</xdr:rowOff>
    </xdr:to>
    <xdr:pic>
      <xdr:nvPicPr>
        <xdr:cNvPr id="2" name="1 Imagen" descr="telemedelli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177" y="190500"/>
          <a:ext cx="2050677" cy="5378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809625</xdr:colOff>
      <xdr:row>0</xdr:row>
      <xdr:rowOff>38100</xdr:rowOff>
    </xdr:from>
    <xdr:to>
      <xdr:col>1</xdr:col>
      <xdr:colOff>1346906</xdr:colOff>
      <xdr:row>2</xdr:row>
      <xdr:rowOff>78318</xdr:rowOff>
    </xdr:to>
    <xdr:pic>
      <xdr:nvPicPr>
        <xdr:cNvPr id="2" name="1 Imagen" descr="telemedellin">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38100"/>
          <a:ext cx="2147006" cy="38311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809625</xdr:colOff>
      <xdr:row>0</xdr:row>
      <xdr:rowOff>38100</xdr:rowOff>
    </xdr:from>
    <xdr:to>
      <xdr:col>2</xdr:col>
      <xdr:colOff>335548</xdr:colOff>
      <xdr:row>2</xdr:row>
      <xdr:rowOff>78318</xdr:rowOff>
    </xdr:to>
    <xdr:pic>
      <xdr:nvPicPr>
        <xdr:cNvPr id="2" name="1 Imagen" descr="telemedellin">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38100"/>
          <a:ext cx="2135773" cy="38311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22412</xdr:colOff>
      <xdr:row>0</xdr:row>
      <xdr:rowOff>123265</xdr:rowOff>
    </xdr:from>
    <xdr:to>
      <xdr:col>2</xdr:col>
      <xdr:colOff>247649</xdr:colOff>
      <xdr:row>2</xdr:row>
      <xdr:rowOff>23596</xdr:rowOff>
    </xdr:to>
    <xdr:pic>
      <xdr:nvPicPr>
        <xdr:cNvPr id="2" name="1 Imagen" descr="telemedellin">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8287" y="123265"/>
          <a:ext cx="1977837" cy="30990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103255</xdr:colOff>
      <xdr:row>0</xdr:row>
      <xdr:rowOff>66436</xdr:rowOff>
    </xdr:from>
    <xdr:to>
      <xdr:col>1</xdr:col>
      <xdr:colOff>1475975</xdr:colOff>
      <xdr:row>1</xdr:row>
      <xdr:rowOff>164887</xdr:rowOff>
    </xdr:to>
    <xdr:pic>
      <xdr:nvPicPr>
        <xdr:cNvPr id="2" name="1 Imagen" descr="telemedellin">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005" y="66436"/>
          <a:ext cx="1372720" cy="343380"/>
        </a:xfrm>
        <a:prstGeom prst="rect">
          <a:avLst/>
        </a:prstGeom>
        <a:noFill/>
        <a:ln>
          <a:noFill/>
        </a:ln>
      </xdr:spPr>
    </xdr:pic>
    <xdr:clientData/>
  </xdr:twoCellAnchor>
  <xdr:twoCellAnchor editAs="oneCell">
    <xdr:from>
      <xdr:col>1</xdr:col>
      <xdr:colOff>103255</xdr:colOff>
      <xdr:row>0</xdr:row>
      <xdr:rowOff>66436</xdr:rowOff>
    </xdr:from>
    <xdr:to>
      <xdr:col>1</xdr:col>
      <xdr:colOff>1475975</xdr:colOff>
      <xdr:row>1</xdr:row>
      <xdr:rowOff>164887</xdr:rowOff>
    </xdr:to>
    <xdr:pic>
      <xdr:nvPicPr>
        <xdr:cNvPr id="3" name="2 Imagen" descr="telemedellin">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005" y="66436"/>
          <a:ext cx="1372720" cy="3365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809625</xdr:colOff>
      <xdr:row>0</xdr:row>
      <xdr:rowOff>38100</xdr:rowOff>
    </xdr:from>
    <xdr:to>
      <xdr:col>2</xdr:col>
      <xdr:colOff>335548</xdr:colOff>
      <xdr:row>2</xdr:row>
      <xdr:rowOff>78318</xdr:rowOff>
    </xdr:to>
    <xdr:pic>
      <xdr:nvPicPr>
        <xdr:cNvPr id="2" name="1 Imagen" descr="telemedellin">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38100"/>
          <a:ext cx="2135773" cy="38311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959462</xdr:colOff>
      <xdr:row>1</xdr:row>
      <xdr:rowOff>20790</xdr:rowOff>
    </xdr:from>
    <xdr:to>
      <xdr:col>3</xdr:col>
      <xdr:colOff>108857</xdr:colOff>
      <xdr:row>3</xdr:row>
      <xdr:rowOff>149678</xdr:rowOff>
    </xdr:to>
    <xdr:pic>
      <xdr:nvPicPr>
        <xdr:cNvPr id="2" name="2 Imagen" descr="telemedellin">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462" y="184076"/>
          <a:ext cx="2170181" cy="50988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1108983</xdr:colOff>
      <xdr:row>0</xdr:row>
      <xdr:rowOff>24493</xdr:rowOff>
    </xdr:from>
    <xdr:to>
      <xdr:col>2</xdr:col>
      <xdr:colOff>1</xdr:colOff>
      <xdr:row>2</xdr:row>
      <xdr:rowOff>64711</xdr:rowOff>
    </xdr:to>
    <xdr:pic>
      <xdr:nvPicPr>
        <xdr:cNvPr id="2" name="1 Imagen" descr="telemedellin">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983" y="24493"/>
          <a:ext cx="1598839" cy="39400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D33"/>
  <sheetViews>
    <sheetView showGridLines="0" workbookViewId="0">
      <selection activeCell="E11" sqref="E11"/>
    </sheetView>
  </sheetViews>
  <sheetFormatPr baseColWidth="10" defaultColWidth="10.85546875" defaultRowHeight="15" x14ac:dyDescent="0.25"/>
  <cols>
    <col min="1" max="1" width="10.85546875" style="10"/>
    <col min="2" max="2" width="30.28515625" style="10" customWidth="1"/>
    <col min="3" max="3" width="25.140625" style="10" customWidth="1"/>
    <col min="4" max="4" width="23.140625" style="10" customWidth="1"/>
    <col min="5" max="16384" width="10.85546875" style="10"/>
  </cols>
  <sheetData>
    <row r="2" spans="2:4" ht="31.5" customHeight="1" x14ac:dyDescent="0.25">
      <c r="B2" s="261" t="s">
        <v>121</v>
      </c>
      <c r="C2" s="261"/>
      <c r="D2" s="261"/>
    </row>
    <row r="3" spans="2:4" x14ac:dyDescent="0.25">
      <c r="B3" s="9" t="s">
        <v>136</v>
      </c>
      <c r="C3" s="9" t="s">
        <v>123</v>
      </c>
      <c r="D3" s="9" t="s">
        <v>21</v>
      </c>
    </row>
    <row r="4" spans="2:4" ht="30" x14ac:dyDescent="0.25">
      <c r="B4" s="8" t="s">
        <v>122</v>
      </c>
      <c r="C4" s="8" t="s">
        <v>124</v>
      </c>
      <c r="D4" s="8" t="s">
        <v>404</v>
      </c>
    </row>
    <row r="5" spans="2:4" x14ac:dyDescent="0.25">
      <c r="B5" s="11"/>
      <c r="C5" s="11"/>
      <c r="D5" s="11"/>
    </row>
    <row r="6" spans="2:4" x14ac:dyDescent="0.25">
      <c r="B6" s="11"/>
      <c r="C6" s="11"/>
      <c r="D6" s="11"/>
    </row>
    <row r="7" spans="2:4" x14ac:dyDescent="0.25">
      <c r="B7" s="11"/>
      <c r="C7" s="11"/>
      <c r="D7" s="11"/>
    </row>
    <row r="8" spans="2:4" x14ac:dyDescent="0.25">
      <c r="B8" s="11"/>
      <c r="C8" s="11"/>
      <c r="D8" s="11"/>
    </row>
    <row r="9" spans="2:4" x14ac:dyDescent="0.25">
      <c r="B9" s="11"/>
      <c r="C9" s="11"/>
      <c r="D9" s="11"/>
    </row>
    <row r="10" spans="2:4" x14ac:dyDescent="0.25">
      <c r="B10" s="11"/>
      <c r="C10" s="11"/>
      <c r="D10" s="11"/>
    </row>
    <row r="11" spans="2:4" x14ac:dyDescent="0.25">
      <c r="B11" s="11"/>
      <c r="C11" s="11"/>
      <c r="D11" s="11"/>
    </row>
    <row r="12" spans="2:4" x14ac:dyDescent="0.25">
      <c r="B12" s="11"/>
      <c r="C12" s="11"/>
      <c r="D12" s="11"/>
    </row>
    <row r="13" spans="2:4" x14ac:dyDescent="0.25">
      <c r="B13" s="11"/>
      <c r="C13" s="11"/>
      <c r="D13" s="11"/>
    </row>
    <row r="14" spans="2:4" x14ac:dyDescent="0.25">
      <c r="B14" s="11"/>
      <c r="C14" s="11"/>
      <c r="D14" s="11"/>
    </row>
    <row r="15" spans="2:4" x14ac:dyDescent="0.25">
      <c r="B15" s="11"/>
      <c r="C15" s="11"/>
      <c r="D15" s="11"/>
    </row>
    <row r="16" spans="2:4" x14ac:dyDescent="0.25">
      <c r="B16" s="11"/>
      <c r="C16" s="11"/>
      <c r="D16" s="11"/>
    </row>
    <row r="17" spans="2:4" x14ac:dyDescent="0.25">
      <c r="B17" s="11"/>
      <c r="C17" s="11"/>
      <c r="D17" s="11"/>
    </row>
    <row r="18" spans="2:4" x14ac:dyDescent="0.25">
      <c r="B18" s="11"/>
      <c r="C18" s="11"/>
      <c r="D18" s="11"/>
    </row>
    <row r="19" spans="2:4" x14ac:dyDescent="0.25">
      <c r="B19" s="11"/>
      <c r="D19" s="11"/>
    </row>
    <row r="20" spans="2:4" x14ac:dyDescent="0.25">
      <c r="B20" s="11"/>
    </row>
    <row r="21" spans="2:4" x14ac:dyDescent="0.25">
      <c r="B21" s="11"/>
    </row>
    <row r="22" spans="2:4" x14ac:dyDescent="0.25">
      <c r="B22" s="11"/>
    </row>
    <row r="23" spans="2:4" x14ac:dyDescent="0.25">
      <c r="B23" s="11"/>
    </row>
    <row r="24" spans="2:4" x14ac:dyDescent="0.25">
      <c r="B24" s="11"/>
    </row>
    <row r="25" spans="2:4" x14ac:dyDescent="0.25">
      <c r="B25" s="11"/>
    </row>
    <row r="26" spans="2:4" x14ac:dyDescent="0.25">
      <c r="B26" s="11"/>
    </row>
    <row r="27" spans="2:4" x14ac:dyDescent="0.25">
      <c r="B27" s="11"/>
    </row>
    <row r="28" spans="2:4" x14ac:dyDescent="0.25">
      <c r="B28" s="11"/>
    </row>
    <row r="29" spans="2:4" x14ac:dyDescent="0.25">
      <c r="B29" s="11"/>
    </row>
    <row r="30" spans="2:4" x14ac:dyDescent="0.25">
      <c r="B30" s="11"/>
    </row>
    <row r="31" spans="2:4" x14ac:dyDescent="0.25">
      <c r="B31" s="11"/>
    </row>
    <row r="32" spans="2:4" x14ac:dyDescent="0.25">
      <c r="B32" s="11"/>
    </row>
    <row r="33" spans="2:2" x14ac:dyDescent="0.25">
      <c r="B33" s="11"/>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64"/>
  <sheetViews>
    <sheetView showGridLines="0" topLeftCell="D1" zoomScale="70" zoomScaleNormal="70" zoomScalePageLayoutView="70" workbookViewId="0">
      <selection activeCell="T12" sqref="T12:T13"/>
    </sheetView>
  </sheetViews>
  <sheetFormatPr baseColWidth="10" defaultColWidth="0" defaultRowHeight="0" customHeight="1" zeroHeight="1" x14ac:dyDescent="0.2"/>
  <cols>
    <col min="1" max="1" width="11.42578125" style="13" hidden="1" customWidth="1"/>
    <col min="2" max="2" width="22.140625" style="13" customWidth="1"/>
    <col min="3" max="3" width="23" style="1" customWidth="1"/>
    <col min="4" max="4" width="9.7109375" style="1" customWidth="1"/>
    <col min="5" max="5" width="16.42578125" style="1" customWidth="1"/>
    <col min="6" max="6" width="20.7109375" style="1" customWidth="1"/>
    <col min="7" max="7" width="7.7109375" style="1" customWidth="1"/>
    <col min="8" max="8" width="18.7109375" style="1" customWidth="1"/>
    <col min="9" max="9" width="17.7109375" style="1" customWidth="1"/>
    <col min="10" max="10" width="40.7109375" style="1" customWidth="1"/>
    <col min="11" max="11" width="13.140625" style="1" customWidth="1"/>
    <col min="12" max="12" width="28" style="1" customWidth="1"/>
    <col min="13" max="13" width="14" style="1" customWidth="1"/>
    <col min="14" max="14" width="10.7109375" style="1" customWidth="1"/>
    <col min="15" max="15" width="10" style="1" customWidth="1"/>
    <col min="16" max="16" width="14.140625" style="1" customWidth="1"/>
    <col min="17" max="17" width="15.140625" style="1" customWidth="1"/>
    <col min="18" max="18" width="14.42578125" style="1" customWidth="1"/>
    <col min="19" max="19" width="16.42578125" style="1" customWidth="1"/>
    <col min="20" max="20" width="32.42578125" style="13" customWidth="1"/>
    <col min="21" max="21" width="5.42578125" style="13" customWidth="1"/>
    <col min="22" max="31" width="0" style="13" hidden="1" customWidth="1"/>
    <col min="32" max="16384" width="11.42578125" style="13" hidden="1"/>
  </cols>
  <sheetData>
    <row r="1" spans="1:20" ht="12.75" x14ac:dyDescent="0.2">
      <c r="B1" s="352"/>
      <c r="C1" s="353"/>
      <c r="D1" s="353"/>
      <c r="E1" s="353"/>
      <c r="F1" s="353"/>
      <c r="G1" s="353"/>
      <c r="H1" s="353"/>
      <c r="I1" s="353"/>
      <c r="J1" s="353"/>
      <c r="K1" s="353"/>
      <c r="L1" s="353"/>
      <c r="M1" s="353"/>
      <c r="N1" s="353"/>
      <c r="O1" s="353"/>
      <c r="P1" s="353"/>
      <c r="Q1" s="353"/>
      <c r="R1" s="353"/>
      <c r="S1" s="353"/>
      <c r="T1" s="354"/>
    </row>
    <row r="2" spans="1:20" ht="13.5" customHeight="1" x14ac:dyDescent="0.2">
      <c r="B2" s="362"/>
      <c r="C2" s="362"/>
      <c r="D2" s="362"/>
      <c r="E2" s="362"/>
      <c r="F2" s="269" t="s">
        <v>0</v>
      </c>
      <c r="G2" s="270"/>
      <c r="H2" s="270"/>
      <c r="I2" s="270"/>
      <c r="J2" s="270"/>
      <c r="K2" s="270"/>
      <c r="L2" s="270"/>
      <c r="M2" s="270"/>
      <c r="N2" s="270"/>
      <c r="O2" s="270"/>
      <c r="P2" s="270"/>
      <c r="Q2" s="270"/>
      <c r="R2" s="270"/>
      <c r="S2" s="270"/>
      <c r="T2" s="271"/>
    </row>
    <row r="3" spans="1:20" ht="15.75" customHeight="1" x14ac:dyDescent="0.2">
      <c r="B3" s="362"/>
      <c r="C3" s="362"/>
      <c r="D3" s="362"/>
      <c r="E3" s="362"/>
      <c r="F3" s="272"/>
      <c r="G3" s="273"/>
      <c r="H3" s="273"/>
      <c r="I3" s="273"/>
      <c r="J3" s="273"/>
      <c r="K3" s="273"/>
      <c r="L3" s="273"/>
      <c r="M3" s="273"/>
      <c r="N3" s="273"/>
      <c r="O3" s="273"/>
      <c r="P3" s="273"/>
      <c r="Q3" s="273"/>
      <c r="R3" s="273"/>
      <c r="S3" s="273"/>
      <c r="T3" s="274"/>
    </row>
    <row r="4" spans="1:20" ht="15.75" customHeight="1" x14ac:dyDescent="0.2">
      <c r="B4" s="362"/>
      <c r="C4" s="362"/>
      <c r="D4" s="362"/>
      <c r="E4" s="362"/>
      <c r="F4" s="275"/>
      <c r="G4" s="276"/>
      <c r="H4" s="276"/>
      <c r="I4" s="276"/>
      <c r="J4" s="276"/>
      <c r="K4" s="276"/>
      <c r="L4" s="276"/>
      <c r="M4" s="276"/>
      <c r="N4" s="276"/>
      <c r="O4" s="276"/>
      <c r="P4" s="276"/>
      <c r="Q4" s="276"/>
      <c r="R4" s="276"/>
      <c r="S4" s="276"/>
      <c r="T4" s="277"/>
    </row>
    <row r="5" spans="1:20" ht="12.75" x14ac:dyDescent="0.2">
      <c r="B5" s="279" t="s">
        <v>36</v>
      </c>
      <c r="C5" s="279"/>
      <c r="D5" s="279"/>
      <c r="E5" s="279"/>
      <c r="F5" s="279"/>
      <c r="G5" s="279"/>
      <c r="H5" s="279"/>
      <c r="I5" s="279"/>
      <c r="J5" s="279"/>
      <c r="K5" s="279"/>
      <c r="L5" s="279"/>
      <c r="M5" s="279"/>
      <c r="N5" s="279"/>
      <c r="O5" s="279"/>
      <c r="P5" s="279"/>
      <c r="Q5" s="279"/>
      <c r="R5" s="279"/>
      <c r="S5" s="279"/>
      <c r="T5" s="279"/>
    </row>
    <row r="6" spans="1:20" ht="12.75" x14ac:dyDescent="0.2">
      <c r="B6" s="279" t="s">
        <v>109</v>
      </c>
      <c r="C6" s="279"/>
      <c r="D6" s="279"/>
      <c r="E6" s="279"/>
      <c r="F6" s="279"/>
      <c r="G6" s="279"/>
      <c r="H6" s="279"/>
      <c r="I6" s="279"/>
      <c r="J6" s="279"/>
      <c r="K6" s="279"/>
      <c r="L6" s="279"/>
      <c r="M6" s="279"/>
      <c r="N6" s="279"/>
      <c r="O6" s="279"/>
      <c r="P6" s="279"/>
      <c r="Q6" s="279"/>
      <c r="R6" s="279"/>
      <c r="S6" s="279"/>
      <c r="T6" s="279"/>
    </row>
    <row r="7" spans="1:20" ht="12.75" x14ac:dyDescent="0.2">
      <c r="B7" s="279" t="s">
        <v>369</v>
      </c>
      <c r="C7" s="279"/>
      <c r="D7" s="279"/>
      <c r="E7" s="279"/>
      <c r="F7" s="279"/>
      <c r="G7" s="279"/>
      <c r="H7" s="279"/>
      <c r="I7" s="279"/>
      <c r="J7" s="279"/>
      <c r="K7" s="279"/>
      <c r="L7" s="279"/>
      <c r="M7" s="279"/>
      <c r="N7" s="279"/>
      <c r="O7" s="279"/>
      <c r="P7" s="279"/>
      <c r="Q7" s="279"/>
      <c r="R7" s="279"/>
      <c r="S7" s="279"/>
      <c r="T7" s="279"/>
    </row>
    <row r="8" spans="1:20" ht="15.75" customHeight="1" x14ac:dyDescent="0.2">
      <c r="B8" s="362"/>
      <c r="C8" s="362"/>
      <c r="D8" s="362"/>
      <c r="E8" s="362"/>
      <c r="F8" s="362"/>
      <c r="G8" s="362"/>
      <c r="H8" s="362"/>
      <c r="I8" s="362"/>
      <c r="J8" s="362"/>
      <c r="K8" s="362"/>
      <c r="L8" s="362"/>
      <c r="M8" s="362"/>
      <c r="N8" s="362"/>
      <c r="O8" s="362"/>
      <c r="P8" s="362"/>
      <c r="Q8" s="362"/>
      <c r="R8" s="362"/>
      <c r="S8" s="362"/>
      <c r="T8" s="362"/>
    </row>
    <row r="9" spans="1:20" ht="15.75" customHeight="1" thickBot="1" x14ac:dyDescent="0.25">
      <c r="B9" s="278" t="s">
        <v>2</v>
      </c>
      <c r="C9" s="278"/>
      <c r="D9" s="278"/>
      <c r="E9" s="278"/>
      <c r="F9" s="278"/>
      <c r="G9" s="278"/>
      <c r="H9" s="278"/>
      <c r="I9" s="278"/>
      <c r="J9" s="278"/>
      <c r="K9" s="278"/>
      <c r="L9" s="278"/>
      <c r="M9" s="278"/>
      <c r="N9" s="278"/>
      <c r="O9" s="278"/>
      <c r="P9" s="213"/>
      <c r="Q9" s="67"/>
      <c r="R9" s="67"/>
      <c r="S9" s="67"/>
      <c r="T9" s="234"/>
    </row>
    <row r="10" spans="1:20" ht="15.75" customHeight="1" x14ac:dyDescent="0.2">
      <c r="A10" s="24"/>
      <c r="B10" s="288" t="s">
        <v>132</v>
      </c>
      <c r="C10" s="288" t="s">
        <v>430</v>
      </c>
      <c r="D10" s="286" t="s">
        <v>4</v>
      </c>
      <c r="E10" s="288" t="s">
        <v>5</v>
      </c>
      <c r="F10" s="288"/>
      <c r="G10" s="286" t="s">
        <v>4</v>
      </c>
      <c r="H10" s="288" t="s">
        <v>6</v>
      </c>
      <c r="I10" s="390" t="s">
        <v>41</v>
      </c>
      <c r="J10" s="390"/>
      <c r="K10" s="390"/>
      <c r="L10" s="390"/>
      <c r="M10" s="390"/>
      <c r="N10" s="390"/>
      <c r="O10" s="286" t="s">
        <v>4</v>
      </c>
      <c r="P10" s="290" t="s">
        <v>531</v>
      </c>
      <c r="Q10" s="286" t="s">
        <v>8</v>
      </c>
      <c r="R10" s="286" t="s">
        <v>9</v>
      </c>
      <c r="S10" s="286" t="s">
        <v>10</v>
      </c>
      <c r="T10" s="290" t="s">
        <v>535</v>
      </c>
    </row>
    <row r="11" spans="1:20" ht="42.75" customHeight="1" thickBot="1" x14ac:dyDescent="0.25">
      <c r="A11" s="25"/>
      <c r="B11" s="288"/>
      <c r="C11" s="288"/>
      <c r="D11" s="286"/>
      <c r="E11" s="288"/>
      <c r="F11" s="288"/>
      <c r="G11" s="286"/>
      <c r="H11" s="288"/>
      <c r="I11" s="67" t="s">
        <v>43</v>
      </c>
      <c r="J11" s="55" t="s">
        <v>42</v>
      </c>
      <c r="K11" s="55" t="s">
        <v>47</v>
      </c>
      <c r="L11" s="67" t="s">
        <v>31</v>
      </c>
      <c r="M11" s="55" t="s">
        <v>48</v>
      </c>
      <c r="N11" s="55" t="s">
        <v>52</v>
      </c>
      <c r="O11" s="286"/>
      <c r="P11" s="290"/>
      <c r="Q11" s="286"/>
      <c r="R11" s="286"/>
      <c r="S11" s="286"/>
      <c r="T11" s="388"/>
    </row>
    <row r="12" spans="1:20" ht="15" customHeight="1" x14ac:dyDescent="0.2">
      <c r="B12" s="292" t="s">
        <v>284</v>
      </c>
      <c r="C12" s="292"/>
      <c r="D12" s="292"/>
      <c r="E12" s="292"/>
      <c r="F12" s="292"/>
      <c r="G12" s="292"/>
      <c r="H12" s="292"/>
      <c r="I12" s="324" t="s">
        <v>339</v>
      </c>
      <c r="J12" s="373" t="s">
        <v>343</v>
      </c>
      <c r="K12" s="375" t="s">
        <v>34</v>
      </c>
      <c r="L12" s="324" t="s">
        <v>344</v>
      </c>
      <c r="M12" s="377" t="s">
        <v>30</v>
      </c>
      <c r="N12" s="375">
        <v>1</v>
      </c>
      <c r="O12" s="380">
        <v>1E-3</v>
      </c>
      <c r="P12" s="375">
        <v>1</v>
      </c>
      <c r="Q12" s="382">
        <f>P12/N12</f>
        <v>1</v>
      </c>
      <c r="R12" s="382">
        <f>IF(Q12&lt;=100%,Q12*O12,O12)</f>
        <v>1E-3</v>
      </c>
      <c r="S12" s="385">
        <f>(R12/2.6)*100</f>
        <v>3.8461538461538464E-2</v>
      </c>
      <c r="T12" s="384" t="s">
        <v>544</v>
      </c>
    </row>
    <row r="13" spans="1:20" ht="149.25" customHeight="1" x14ac:dyDescent="0.2">
      <c r="B13" s="307" t="str">
        <f>+'Plan de desarrollo'!B4</f>
        <v>DIMENSIÓN 1: Creemos en la cultura ciudadana</v>
      </c>
      <c r="C13" s="303" t="s">
        <v>18</v>
      </c>
      <c r="D13" s="294">
        <f>+SUM(G13:G18)</f>
        <v>2.6000000000000002E-2</v>
      </c>
      <c r="E13" s="287" t="s">
        <v>342</v>
      </c>
      <c r="F13" s="287"/>
      <c r="G13" s="86">
        <f>+O12</f>
        <v>1E-3</v>
      </c>
      <c r="H13" s="63" t="s">
        <v>38</v>
      </c>
      <c r="I13" s="325"/>
      <c r="J13" s="374"/>
      <c r="K13" s="376"/>
      <c r="L13" s="325"/>
      <c r="M13" s="378"/>
      <c r="N13" s="376"/>
      <c r="O13" s="381"/>
      <c r="P13" s="376"/>
      <c r="Q13" s="383"/>
      <c r="R13" s="383"/>
      <c r="S13" s="386"/>
      <c r="T13" s="384"/>
    </row>
    <row r="14" spans="1:20" ht="134.25" customHeight="1" x14ac:dyDescent="0.2">
      <c r="B14" s="307"/>
      <c r="C14" s="303"/>
      <c r="D14" s="294"/>
      <c r="E14" s="389" t="s">
        <v>37</v>
      </c>
      <c r="F14" s="389"/>
      <c r="G14" s="294">
        <f>+SUM(O14:O16)</f>
        <v>1.4999999999999999E-2</v>
      </c>
      <c r="H14" s="287" t="s">
        <v>38</v>
      </c>
      <c r="I14" s="63" t="s">
        <v>44</v>
      </c>
      <c r="J14" s="69" t="s">
        <v>91</v>
      </c>
      <c r="K14" s="69" t="s">
        <v>49</v>
      </c>
      <c r="L14" s="69" t="s">
        <v>90</v>
      </c>
      <c r="M14" s="378"/>
      <c r="N14" s="89">
        <v>1</v>
      </c>
      <c r="O14" s="90">
        <v>5.0000000000000001E-3</v>
      </c>
      <c r="P14" s="172">
        <v>1</v>
      </c>
      <c r="Q14" s="91">
        <f>P14/N14</f>
        <v>1</v>
      </c>
      <c r="R14" s="91">
        <f>IF(Q14&lt;=100%,Q14*O14,O14)</f>
        <v>5.0000000000000001E-3</v>
      </c>
      <c r="S14" s="166">
        <f>(R14/2.6)*100</f>
        <v>0.19230769230769229</v>
      </c>
      <c r="T14" s="191" t="s">
        <v>545</v>
      </c>
    </row>
    <row r="15" spans="1:20" ht="88.5" customHeight="1" x14ac:dyDescent="0.2">
      <c r="B15" s="307"/>
      <c r="C15" s="303"/>
      <c r="D15" s="294"/>
      <c r="E15" s="389"/>
      <c r="F15" s="389"/>
      <c r="G15" s="294"/>
      <c r="H15" s="287"/>
      <c r="I15" s="63" t="s">
        <v>45</v>
      </c>
      <c r="J15" s="22" t="s">
        <v>420</v>
      </c>
      <c r="K15" s="22" t="s">
        <v>49</v>
      </c>
      <c r="L15" s="22" t="s">
        <v>92</v>
      </c>
      <c r="M15" s="378"/>
      <c r="N15" s="77">
        <v>1</v>
      </c>
      <c r="O15" s="90">
        <v>5.0000000000000001E-3</v>
      </c>
      <c r="P15" s="31">
        <v>1</v>
      </c>
      <c r="Q15" s="91">
        <f>P15/N15</f>
        <v>1</v>
      </c>
      <c r="R15" s="91">
        <f>IF(Q15&lt;=100%,Q15*O15,O15)</f>
        <v>5.0000000000000001E-3</v>
      </c>
      <c r="S15" s="166">
        <f>(R15/2.6)*100</f>
        <v>0.19230769230769229</v>
      </c>
      <c r="T15" s="192" t="s">
        <v>546</v>
      </c>
    </row>
    <row r="16" spans="1:20" ht="174" customHeight="1" x14ac:dyDescent="0.2">
      <c r="B16" s="307"/>
      <c r="C16" s="303"/>
      <c r="D16" s="294"/>
      <c r="E16" s="389"/>
      <c r="F16" s="389"/>
      <c r="G16" s="294"/>
      <c r="H16" s="287"/>
      <c r="I16" s="22" t="s">
        <v>39</v>
      </c>
      <c r="J16" s="22" t="s">
        <v>46</v>
      </c>
      <c r="K16" s="22" t="s">
        <v>35</v>
      </c>
      <c r="L16" s="22" t="s">
        <v>93</v>
      </c>
      <c r="M16" s="378"/>
      <c r="N16" s="92">
        <v>1</v>
      </c>
      <c r="O16" s="90">
        <v>5.0000000000000001E-3</v>
      </c>
      <c r="P16" s="172">
        <v>1</v>
      </c>
      <c r="Q16" s="91">
        <f>P16/N16</f>
        <v>1</v>
      </c>
      <c r="R16" s="91">
        <f>IF(Q16&lt;=100%,Q16*O16,O16)</f>
        <v>5.0000000000000001E-3</v>
      </c>
      <c r="S16" s="166">
        <f>(R16/2.6)*100</f>
        <v>0.19230769230769229</v>
      </c>
      <c r="T16" s="173" t="s">
        <v>468</v>
      </c>
    </row>
    <row r="17" spans="2:20" ht="109.5" customHeight="1" x14ac:dyDescent="0.2">
      <c r="B17" s="307"/>
      <c r="C17" s="303"/>
      <c r="D17" s="294"/>
      <c r="E17" s="389" t="s">
        <v>40</v>
      </c>
      <c r="F17" s="389"/>
      <c r="G17" s="294">
        <f>+SUM(O17:O18)</f>
        <v>0.01</v>
      </c>
      <c r="H17" s="287" t="s">
        <v>38</v>
      </c>
      <c r="I17" s="63" t="s">
        <v>56</v>
      </c>
      <c r="J17" s="23" t="s">
        <v>51</v>
      </c>
      <c r="K17" s="23" t="s">
        <v>49</v>
      </c>
      <c r="L17" s="22" t="s">
        <v>94</v>
      </c>
      <c r="M17" s="378"/>
      <c r="N17" s="78">
        <v>1</v>
      </c>
      <c r="O17" s="90">
        <v>5.0000000000000001E-3</v>
      </c>
      <c r="P17" s="172">
        <v>1</v>
      </c>
      <c r="Q17" s="91">
        <f>P17/N17</f>
        <v>1</v>
      </c>
      <c r="R17" s="91">
        <f>IF(Q17&lt;=100%,Q17*O17,O17)</f>
        <v>5.0000000000000001E-3</v>
      </c>
      <c r="S17" s="166">
        <f>(R17/2.6)*100</f>
        <v>0.19230769230769229</v>
      </c>
      <c r="T17" s="191" t="s">
        <v>469</v>
      </c>
    </row>
    <row r="18" spans="2:20" ht="77.25" customHeight="1" x14ac:dyDescent="0.2">
      <c r="B18" s="307"/>
      <c r="C18" s="303"/>
      <c r="D18" s="294"/>
      <c r="E18" s="389"/>
      <c r="F18" s="389"/>
      <c r="G18" s="294"/>
      <c r="H18" s="287"/>
      <c r="I18" s="63" t="s">
        <v>55</v>
      </c>
      <c r="J18" s="23" t="s">
        <v>54</v>
      </c>
      <c r="K18" s="22" t="s">
        <v>49</v>
      </c>
      <c r="L18" s="22" t="s">
        <v>53</v>
      </c>
      <c r="M18" s="379"/>
      <c r="N18" s="93">
        <v>1</v>
      </c>
      <c r="O18" s="90">
        <v>5.0000000000000001E-3</v>
      </c>
      <c r="P18" s="172">
        <v>1</v>
      </c>
      <c r="Q18" s="91">
        <f>P18/N18</f>
        <v>1</v>
      </c>
      <c r="R18" s="91">
        <f>IF(Q18&lt;=100%,Q18*O18,O18)</f>
        <v>5.0000000000000001E-3</v>
      </c>
      <c r="S18" s="166">
        <f>(R18/2.6)*100</f>
        <v>0.19230769230769229</v>
      </c>
      <c r="T18" s="162" t="s">
        <v>442</v>
      </c>
    </row>
    <row r="19" spans="2:20" ht="17.25" customHeight="1" x14ac:dyDescent="0.2">
      <c r="B19" s="387" t="s">
        <v>12</v>
      </c>
      <c r="C19" s="387"/>
      <c r="D19" s="387"/>
      <c r="E19" s="387"/>
      <c r="F19" s="387"/>
      <c r="G19" s="387"/>
      <c r="H19" s="387"/>
      <c r="I19" s="387"/>
      <c r="J19" s="387"/>
      <c r="K19" s="387"/>
      <c r="L19" s="387"/>
      <c r="M19" s="387"/>
      <c r="N19" s="387"/>
      <c r="O19" s="387"/>
      <c r="P19" s="387"/>
      <c r="Q19" s="387"/>
      <c r="R19" s="387"/>
      <c r="S19" s="202">
        <f>SUM(S12:S18)</f>
        <v>0.99999999999999989</v>
      </c>
      <c r="T19" s="226"/>
    </row>
    <row r="20" spans="2:20" ht="12.75" x14ac:dyDescent="0.2"/>
    <row r="21" spans="2:20" ht="36" x14ac:dyDescent="0.2">
      <c r="D21" s="153">
        <f>+D13</f>
        <v>2.6000000000000002E-2</v>
      </c>
      <c r="T21" s="133" t="s">
        <v>370</v>
      </c>
    </row>
    <row r="22" spans="2:20" ht="12.75" x14ac:dyDescent="0.2"/>
    <row r="23" spans="2:20" ht="12.75" x14ac:dyDescent="0.2"/>
    <row r="24" spans="2:20" ht="12.75" x14ac:dyDescent="0.2"/>
    <row r="25" spans="2:20" ht="12.75" x14ac:dyDescent="0.2"/>
    <row r="26" spans="2:20" ht="12.75" x14ac:dyDescent="0.2">
      <c r="C26" s="14"/>
      <c r="D26" s="14"/>
      <c r="E26" s="14"/>
      <c r="F26" s="14"/>
      <c r="G26" s="14"/>
      <c r="H26" s="14"/>
      <c r="I26" s="14"/>
      <c r="J26" s="14"/>
      <c r="K26" s="14"/>
      <c r="L26" s="14"/>
      <c r="M26" s="14"/>
      <c r="N26" s="14"/>
      <c r="O26" s="14"/>
      <c r="P26" s="14"/>
      <c r="Q26" s="14"/>
      <c r="R26" s="14"/>
      <c r="S26" s="14"/>
    </row>
    <row r="27" spans="2:20" ht="12.75" x14ac:dyDescent="0.2">
      <c r="C27" s="14"/>
      <c r="D27" s="14"/>
      <c r="E27" s="14"/>
      <c r="F27" s="14"/>
      <c r="G27" s="14"/>
      <c r="H27" s="14"/>
      <c r="I27" s="14"/>
      <c r="J27" s="14"/>
      <c r="K27" s="14"/>
      <c r="L27" s="14"/>
      <c r="M27" s="14"/>
      <c r="N27" s="14"/>
      <c r="O27" s="14"/>
      <c r="P27" s="14"/>
      <c r="Q27" s="14"/>
      <c r="R27" s="14"/>
      <c r="S27" s="14"/>
    </row>
    <row r="28" spans="2:20" ht="12.75" x14ac:dyDescent="0.2">
      <c r="C28" s="14"/>
      <c r="D28" s="14"/>
      <c r="E28" s="14"/>
      <c r="F28" s="14"/>
      <c r="G28" s="14"/>
      <c r="H28" s="14"/>
      <c r="I28" s="14"/>
      <c r="J28" s="14"/>
      <c r="K28" s="14"/>
      <c r="L28" s="14"/>
      <c r="M28" s="14"/>
      <c r="N28" s="14"/>
      <c r="O28" s="14"/>
      <c r="P28" s="14"/>
      <c r="Q28" s="14"/>
      <c r="R28" s="14"/>
      <c r="S28" s="14"/>
    </row>
    <row r="29" spans="2:20" ht="12.75" x14ac:dyDescent="0.2">
      <c r="C29" s="14"/>
      <c r="D29" s="14"/>
      <c r="E29" s="14"/>
      <c r="F29" s="14"/>
      <c r="G29" s="14"/>
      <c r="H29" s="14"/>
      <c r="I29" s="14"/>
      <c r="J29" s="14"/>
      <c r="K29" s="14"/>
      <c r="L29" s="14"/>
      <c r="M29" s="14"/>
      <c r="N29" s="14"/>
      <c r="O29" s="14"/>
      <c r="P29" s="14"/>
      <c r="Q29" s="14"/>
      <c r="R29" s="14"/>
      <c r="S29" s="14"/>
    </row>
    <row r="30" spans="2:20" ht="12.75" x14ac:dyDescent="0.2">
      <c r="C30" s="14"/>
      <c r="D30" s="14"/>
      <c r="E30" s="14"/>
      <c r="F30" s="14"/>
      <c r="G30" s="14"/>
      <c r="H30" s="14"/>
      <c r="I30" s="14"/>
      <c r="J30" s="14"/>
      <c r="K30" s="14"/>
      <c r="L30" s="14"/>
      <c r="M30" s="14"/>
      <c r="N30" s="14"/>
      <c r="O30" s="14"/>
      <c r="P30" s="14"/>
      <c r="Q30" s="14"/>
      <c r="R30" s="14"/>
      <c r="S30" s="14"/>
    </row>
    <row r="31" spans="2:20" ht="12.75" x14ac:dyDescent="0.2">
      <c r="C31" s="14"/>
      <c r="D31" s="14"/>
      <c r="E31" s="14"/>
      <c r="F31" s="14"/>
      <c r="G31" s="14"/>
      <c r="H31" s="14"/>
      <c r="I31" s="14"/>
      <c r="J31" s="14"/>
      <c r="K31" s="14"/>
      <c r="L31" s="14"/>
      <c r="M31" s="14"/>
      <c r="N31" s="14"/>
      <c r="O31" s="14"/>
      <c r="P31" s="14"/>
      <c r="Q31" s="14"/>
      <c r="R31" s="14"/>
      <c r="S31" s="14"/>
    </row>
    <row r="32" spans="2:20"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sheetData>
  <mergeCells count="45">
    <mergeCell ref="B2:E4"/>
    <mergeCell ref="F2:T4"/>
    <mergeCell ref="B5:T5"/>
    <mergeCell ref="B9:O9"/>
    <mergeCell ref="E10:F11"/>
    <mergeCell ref="G10:G11"/>
    <mergeCell ref="I10:N10"/>
    <mergeCell ref="O10:O11"/>
    <mergeCell ref="B8:T8"/>
    <mergeCell ref="B10:B11"/>
    <mergeCell ref="C10:C11"/>
    <mergeCell ref="D10:D11"/>
    <mergeCell ref="P10:P11"/>
    <mergeCell ref="P12:P13"/>
    <mergeCell ref="T10:T11"/>
    <mergeCell ref="E14:F16"/>
    <mergeCell ref="G14:G16"/>
    <mergeCell ref="H14:H16"/>
    <mergeCell ref="E17:F18"/>
    <mergeCell ref="G17:G18"/>
    <mergeCell ref="Q10:Q11"/>
    <mergeCell ref="R10:R11"/>
    <mergeCell ref="S10:S11"/>
    <mergeCell ref="H10:H11"/>
    <mergeCell ref="C13:C18"/>
    <mergeCell ref="H17:H18"/>
    <mergeCell ref="D13:D18"/>
    <mergeCell ref="E13:F13"/>
    <mergeCell ref="B19:R19"/>
    <mergeCell ref="L12:L13"/>
    <mergeCell ref="I12:I13"/>
    <mergeCell ref="J12:J13"/>
    <mergeCell ref="K12:K13"/>
    <mergeCell ref="B1:T1"/>
    <mergeCell ref="B12:H12"/>
    <mergeCell ref="M12:M18"/>
    <mergeCell ref="N12:N13"/>
    <mergeCell ref="O12:O13"/>
    <mergeCell ref="Q12:Q13"/>
    <mergeCell ref="R12:R13"/>
    <mergeCell ref="T12:T13"/>
    <mergeCell ref="S12:S13"/>
    <mergeCell ref="B6:T6"/>
    <mergeCell ref="B7:T7"/>
    <mergeCell ref="B13:B18"/>
  </mergeCells>
  <pageMargins left="0.7" right="0.7" top="0.75" bottom="0.75" header="0.3" footer="0.3"/>
  <pageSetup orientation="portrait" r:id="rId1"/>
  <ignoredErrors>
    <ignoredError sqref="G14 G1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22"/>
  <sheetViews>
    <sheetView showGridLines="0" topLeftCell="D1" zoomScale="70" zoomScaleNormal="70" zoomScalePageLayoutView="80" workbookViewId="0">
      <selection activeCell="S9" sqref="S9:S10"/>
    </sheetView>
  </sheetViews>
  <sheetFormatPr baseColWidth="10" defaultColWidth="10.85546875" defaultRowHeight="12.75" x14ac:dyDescent="0.2"/>
  <cols>
    <col min="1" max="1" width="19.7109375" style="12" customWidth="1"/>
    <col min="2" max="2" width="20.7109375" style="12" customWidth="1"/>
    <col min="3" max="3" width="10.140625" style="12" customWidth="1"/>
    <col min="4" max="4" width="10.85546875" style="12" customWidth="1"/>
    <col min="5" max="5" width="14.42578125" style="12" customWidth="1"/>
    <col min="6" max="6" width="10.140625" style="12" customWidth="1"/>
    <col min="7" max="7" width="14.7109375" style="12" customWidth="1"/>
    <col min="8" max="8" width="20.28515625" style="12" customWidth="1"/>
    <col min="9" max="9" width="31.85546875" style="12" customWidth="1"/>
    <col min="10" max="10" width="11.42578125" style="12" customWidth="1"/>
    <col min="11" max="11" width="25.42578125" style="12" customWidth="1"/>
    <col min="12" max="12" width="12.42578125" style="12" customWidth="1"/>
    <col min="13" max="13" width="16.85546875" style="12" customWidth="1"/>
    <col min="14" max="14" width="10.28515625" style="12" customWidth="1"/>
    <col min="15" max="15" width="13.140625" style="17" customWidth="1"/>
    <col min="16" max="16" width="13.140625" style="12" customWidth="1"/>
    <col min="17" max="17" width="15.140625" style="12" customWidth="1"/>
    <col min="18" max="18" width="15" style="12" customWidth="1"/>
    <col min="19" max="19" width="49.85546875" style="12" customWidth="1"/>
    <col min="20" max="16384" width="10.85546875" style="12"/>
  </cols>
  <sheetData>
    <row r="1" spans="1:19" ht="13.5" customHeight="1" x14ac:dyDescent="0.2">
      <c r="A1" s="268"/>
      <c r="B1" s="268"/>
      <c r="C1" s="268"/>
      <c r="D1" s="268"/>
      <c r="E1" s="269" t="s">
        <v>0</v>
      </c>
      <c r="F1" s="270"/>
      <c r="G1" s="270"/>
      <c r="H1" s="270"/>
      <c r="I1" s="270"/>
      <c r="J1" s="270"/>
      <c r="K1" s="270"/>
      <c r="L1" s="270"/>
      <c r="M1" s="270"/>
      <c r="N1" s="270"/>
      <c r="O1" s="270"/>
      <c r="P1" s="270"/>
      <c r="Q1" s="270"/>
      <c r="R1" s="270"/>
      <c r="S1" s="270"/>
    </row>
    <row r="2" spans="1:19" ht="13.5" customHeight="1" x14ac:dyDescent="0.2">
      <c r="A2" s="268"/>
      <c r="B2" s="268"/>
      <c r="C2" s="268"/>
      <c r="D2" s="268"/>
      <c r="E2" s="272"/>
      <c r="F2" s="273"/>
      <c r="G2" s="273"/>
      <c r="H2" s="273"/>
      <c r="I2" s="273"/>
      <c r="J2" s="273"/>
      <c r="K2" s="273"/>
      <c r="L2" s="273"/>
      <c r="M2" s="273"/>
      <c r="N2" s="273"/>
      <c r="O2" s="273"/>
      <c r="P2" s="273"/>
      <c r="Q2" s="273"/>
      <c r="R2" s="273"/>
      <c r="S2" s="273"/>
    </row>
    <row r="3" spans="1:19" ht="13.5" customHeight="1" x14ac:dyDescent="0.2">
      <c r="A3" s="268"/>
      <c r="B3" s="268"/>
      <c r="C3" s="268"/>
      <c r="D3" s="268"/>
      <c r="E3" s="275"/>
      <c r="F3" s="276"/>
      <c r="G3" s="276"/>
      <c r="H3" s="276"/>
      <c r="I3" s="276"/>
      <c r="J3" s="276"/>
      <c r="K3" s="276"/>
      <c r="L3" s="276"/>
      <c r="M3" s="276"/>
      <c r="N3" s="276"/>
      <c r="O3" s="276"/>
      <c r="P3" s="276"/>
      <c r="Q3" s="276"/>
      <c r="R3" s="276"/>
      <c r="S3" s="276"/>
    </row>
    <row r="4" spans="1:19" x14ac:dyDescent="0.2">
      <c r="A4" s="279" t="s">
        <v>79</v>
      </c>
      <c r="B4" s="279"/>
      <c r="C4" s="279"/>
      <c r="D4" s="279"/>
      <c r="E4" s="279"/>
      <c r="F4" s="279"/>
      <c r="G4" s="279"/>
      <c r="H4" s="279"/>
      <c r="I4" s="279"/>
      <c r="J4" s="279"/>
      <c r="K4" s="279"/>
      <c r="L4" s="279"/>
      <c r="M4" s="279"/>
      <c r="N4" s="279"/>
      <c r="O4" s="279"/>
      <c r="P4" s="279"/>
      <c r="Q4" s="279"/>
      <c r="R4" s="279"/>
      <c r="S4" s="279"/>
    </row>
    <row r="5" spans="1:19" x14ac:dyDescent="0.2">
      <c r="A5" s="279" t="s">
        <v>107</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ht="15.75" customHeight="1" x14ac:dyDescent="0.2">
      <c r="A7" s="268"/>
      <c r="B7" s="268"/>
      <c r="C7" s="268"/>
      <c r="D7" s="268"/>
      <c r="E7" s="268"/>
      <c r="F7" s="268"/>
      <c r="G7" s="268"/>
      <c r="H7" s="268"/>
      <c r="I7" s="268"/>
      <c r="J7" s="268"/>
      <c r="K7" s="268"/>
      <c r="L7" s="268"/>
      <c r="M7" s="268"/>
      <c r="N7" s="268"/>
      <c r="O7" s="268"/>
      <c r="P7" s="268"/>
      <c r="Q7" s="268"/>
      <c r="R7" s="268"/>
      <c r="S7" s="268"/>
    </row>
    <row r="8" spans="1:19" x14ac:dyDescent="0.2">
      <c r="A8" s="278" t="s">
        <v>2</v>
      </c>
      <c r="B8" s="278"/>
      <c r="C8" s="278"/>
      <c r="D8" s="278"/>
      <c r="E8" s="278"/>
      <c r="F8" s="278"/>
      <c r="G8" s="278"/>
      <c r="H8" s="278"/>
      <c r="I8" s="278"/>
      <c r="J8" s="278"/>
      <c r="K8" s="278"/>
      <c r="L8" s="278"/>
      <c r="M8" s="278"/>
      <c r="N8" s="278"/>
      <c r="O8" s="230"/>
      <c r="P8" s="42"/>
      <c r="Q8" s="42"/>
      <c r="R8" s="42"/>
      <c r="S8" s="246"/>
    </row>
    <row r="9" spans="1:19" ht="12.75" customHeight="1" x14ac:dyDescent="0.2">
      <c r="A9" s="288" t="s">
        <v>132</v>
      </c>
      <c r="B9" s="288" t="s">
        <v>430</v>
      </c>
      <c r="C9" s="286" t="s">
        <v>4</v>
      </c>
      <c r="D9" s="288" t="s">
        <v>5</v>
      </c>
      <c r="E9" s="288"/>
      <c r="F9" s="286" t="s">
        <v>4</v>
      </c>
      <c r="G9" s="288" t="s">
        <v>6</v>
      </c>
      <c r="H9" s="314" t="s">
        <v>41</v>
      </c>
      <c r="I9" s="314"/>
      <c r="J9" s="314"/>
      <c r="K9" s="314"/>
      <c r="L9" s="314"/>
      <c r="M9" s="314"/>
      <c r="N9" s="286" t="s">
        <v>4</v>
      </c>
      <c r="O9" s="290" t="s">
        <v>531</v>
      </c>
      <c r="P9" s="286" t="s">
        <v>8</v>
      </c>
      <c r="Q9" s="286" t="s">
        <v>9</v>
      </c>
      <c r="R9" s="286" t="s">
        <v>10</v>
      </c>
      <c r="S9" s="290" t="s">
        <v>535</v>
      </c>
    </row>
    <row r="10" spans="1:19" ht="57" customHeight="1" x14ac:dyDescent="0.2">
      <c r="A10" s="288"/>
      <c r="B10" s="288"/>
      <c r="C10" s="286"/>
      <c r="D10" s="288"/>
      <c r="E10" s="288"/>
      <c r="F10" s="286"/>
      <c r="G10" s="288"/>
      <c r="H10" s="40" t="s">
        <v>43</v>
      </c>
      <c r="I10" s="41" t="s">
        <v>42</v>
      </c>
      <c r="J10" s="41" t="s">
        <v>47</v>
      </c>
      <c r="K10" s="40" t="s">
        <v>31</v>
      </c>
      <c r="L10" s="41" t="s">
        <v>48</v>
      </c>
      <c r="M10" s="41" t="s">
        <v>52</v>
      </c>
      <c r="N10" s="286"/>
      <c r="O10" s="291"/>
      <c r="P10" s="286"/>
      <c r="Q10" s="286"/>
      <c r="R10" s="286"/>
      <c r="S10" s="290"/>
    </row>
    <row r="11" spans="1:19" ht="12.75" customHeight="1" x14ac:dyDescent="0.2">
      <c r="A11" s="292" t="s">
        <v>185</v>
      </c>
      <c r="B11" s="292"/>
      <c r="C11" s="292"/>
      <c r="D11" s="292"/>
      <c r="E11" s="292"/>
      <c r="F11" s="292"/>
      <c r="G11" s="292"/>
      <c r="H11" s="287" t="s">
        <v>221</v>
      </c>
      <c r="I11" s="287" t="s">
        <v>222</v>
      </c>
      <c r="J11" s="287" t="s">
        <v>32</v>
      </c>
      <c r="K11" s="287" t="s">
        <v>223</v>
      </c>
      <c r="L11" s="287" t="s">
        <v>30</v>
      </c>
      <c r="M11" s="394">
        <v>104580000</v>
      </c>
      <c r="N11" s="299">
        <f>+F12</f>
        <v>0.01</v>
      </c>
      <c r="O11" s="394">
        <v>291173560</v>
      </c>
      <c r="P11" s="338">
        <f>O11/M11</f>
        <v>2.7842183973991204</v>
      </c>
      <c r="Q11" s="308">
        <f>IF(P11&lt;=100%,P11*N11,N11)</f>
        <v>0.01</v>
      </c>
      <c r="R11" s="311">
        <f>(Q11/3.6)*100</f>
        <v>0.27777777777777779</v>
      </c>
      <c r="S11" s="370" t="s">
        <v>547</v>
      </c>
    </row>
    <row r="12" spans="1:19" ht="108" customHeight="1" x14ac:dyDescent="0.2">
      <c r="A12" s="36" t="s">
        <v>122</v>
      </c>
      <c r="B12" s="34" t="str">
        <f>'Objetivos Estratégicos'!B7</f>
        <v xml:space="preserve">Incrementar el nivel de eficiencia y eficacia operativa y administrativa en la gestión y ejecución de los procesos. </v>
      </c>
      <c r="C12" s="37">
        <f>+F12</f>
        <v>0.01</v>
      </c>
      <c r="D12" s="287" t="s">
        <v>219</v>
      </c>
      <c r="E12" s="287"/>
      <c r="F12" s="37">
        <v>0.01</v>
      </c>
      <c r="G12" s="33" t="s">
        <v>220</v>
      </c>
      <c r="H12" s="293"/>
      <c r="I12" s="293"/>
      <c r="J12" s="293"/>
      <c r="K12" s="293"/>
      <c r="L12" s="293"/>
      <c r="M12" s="395"/>
      <c r="N12" s="391"/>
      <c r="O12" s="396"/>
      <c r="P12" s="338"/>
      <c r="Q12" s="309"/>
      <c r="R12" s="311"/>
      <c r="S12" s="370"/>
    </row>
    <row r="13" spans="1:19" ht="12.75" customHeight="1" x14ac:dyDescent="0.2">
      <c r="A13" s="292" t="s">
        <v>284</v>
      </c>
      <c r="B13" s="292"/>
      <c r="C13" s="292"/>
      <c r="D13" s="292"/>
      <c r="E13" s="292"/>
      <c r="F13" s="292"/>
      <c r="G13" s="292"/>
      <c r="H13" s="287" t="s">
        <v>286</v>
      </c>
      <c r="I13" s="287" t="s">
        <v>287</v>
      </c>
      <c r="J13" s="287" t="s">
        <v>32</v>
      </c>
      <c r="K13" s="287" t="s">
        <v>288</v>
      </c>
      <c r="L13" s="287" t="s">
        <v>63</v>
      </c>
      <c r="M13" s="392" t="s">
        <v>428</v>
      </c>
      <c r="N13" s="299">
        <v>5.0000000000000001E-3</v>
      </c>
      <c r="O13" s="397">
        <v>0</v>
      </c>
      <c r="P13" s="311">
        <f>IF(O13:O14&gt;0%,100%,0)</f>
        <v>0</v>
      </c>
      <c r="Q13" s="308">
        <f>IF(P13&lt;=100%,P13*N13,N13)</f>
        <v>0</v>
      </c>
      <c r="R13" s="285">
        <f>(Q13/3.6)*100</f>
        <v>0</v>
      </c>
      <c r="S13" s="370" t="s">
        <v>511</v>
      </c>
    </row>
    <row r="14" spans="1:19" ht="72" customHeight="1" x14ac:dyDescent="0.2">
      <c r="A14" s="283" t="str">
        <f>+A12</f>
        <v>DIMENSIÓN 1: Creemos en la cultura ciudadana</v>
      </c>
      <c r="B14" s="320" t="str">
        <f>+'Objetivos Estratégicos'!B6</f>
        <v xml:space="preserve">Administrar y optimizar eficientemente los recursos financieros acorde con las expectativas de los asociados. </v>
      </c>
      <c r="C14" s="299">
        <f>+F14</f>
        <v>6.0000000000000001E-3</v>
      </c>
      <c r="D14" s="287" t="s">
        <v>285</v>
      </c>
      <c r="E14" s="287"/>
      <c r="F14" s="299">
        <f>+SUM(N13:N15)</f>
        <v>6.0000000000000001E-3</v>
      </c>
      <c r="G14" s="56" t="s">
        <v>220</v>
      </c>
      <c r="H14" s="293"/>
      <c r="I14" s="293"/>
      <c r="J14" s="293"/>
      <c r="K14" s="293"/>
      <c r="L14" s="293"/>
      <c r="M14" s="393"/>
      <c r="N14" s="391"/>
      <c r="O14" s="398"/>
      <c r="P14" s="311"/>
      <c r="Q14" s="309"/>
      <c r="R14" s="285"/>
      <c r="S14" s="370"/>
    </row>
    <row r="15" spans="1:19" ht="94.5" customHeight="1" x14ac:dyDescent="0.2">
      <c r="A15" s="333"/>
      <c r="B15" s="322"/>
      <c r="C15" s="301"/>
      <c r="D15" s="287" t="s">
        <v>421</v>
      </c>
      <c r="E15" s="287"/>
      <c r="F15" s="301"/>
      <c r="G15" s="63" t="s">
        <v>220</v>
      </c>
      <c r="H15" s="63" t="s">
        <v>422</v>
      </c>
      <c r="I15" s="2" t="s">
        <v>340</v>
      </c>
      <c r="J15" s="63" t="s">
        <v>35</v>
      </c>
      <c r="K15" s="63" t="s">
        <v>341</v>
      </c>
      <c r="L15" s="63" t="s">
        <v>30</v>
      </c>
      <c r="M15" s="88">
        <v>1</v>
      </c>
      <c r="N15" s="68">
        <v>1E-3</v>
      </c>
      <c r="O15" s="229">
        <v>0</v>
      </c>
      <c r="P15" s="109">
        <f>O15/M15</f>
        <v>0</v>
      </c>
      <c r="Q15" s="66">
        <f>IF(P15&lt;=100%,P15*N15,N15)</f>
        <v>0</v>
      </c>
      <c r="R15" s="108">
        <f>(Q15/3.6)*100</f>
        <v>0</v>
      </c>
      <c r="S15" s="201" t="s">
        <v>512</v>
      </c>
    </row>
    <row r="16" spans="1:19" ht="123" customHeight="1" x14ac:dyDescent="0.2">
      <c r="A16" s="333"/>
      <c r="B16" s="303" t="str">
        <f>'Objetivos Estratégicos'!B7</f>
        <v xml:space="preserve">Incrementar el nivel de eficiencia y eficacia operativa y administrativa en la gestión y ejecución de los procesos. </v>
      </c>
      <c r="C16" s="315">
        <f>+SUM(F16:F17)</f>
        <v>0.01</v>
      </c>
      <c r="D16" s="287" t="s">
        <v>423</v>
      </c>
      <c r="E16" s="287"/>
      <c r="F16" s="35">
        <f>+N16</f>
        <v>5.0000000000000001E-3</v>
      </c>
      <c r="G16" s="287" t="s">
        <v>97</v>
      </c>
      <c r="H16" s="33" t="s">
        <v>83</v>
      </c>
      <c r="I16" s="33" t="s">
        <v>80</v>
      </c>
      <c r="J16" s="287" t="s">
        <v>35</v>
      </c>
      <c r="K16" s="33" t="s">
        <v>96</v>
      </c>
      <c r="L16" s="287" t="s">
        <v>30</v>
      </c>
      <c r="M16" s="50">
        <v>0.9</v>
      </c>
      <c r="N16" s="35">
        <v>5.0000000000000001E-3</v>
      </c>
      <c r="O16" s="228">
        <v>1.06</v>
      </c>
      <c r="P16" s="251">
        <f>O16/M16</f>
        <v>1.1777777777777778</v>
      </c>
      <c r="Q16" s="37">
        <f>IF(P16&lt;=100%,P16*N16,N16)</f>
        <v>5.0000000000000001E-3</v>
      </c>
      <c r="R16" s="299">
        <f>((SUM(Q16:Q19))/3.6)*100</f>
        <v>0.54865740740740743</v>
      </c>
      <c r="S16" s="32" t="s">
        <v>513</v>
      </c>
    </row>
    <row r="17" spans="1:19" ht="114.75" customHeight="1" x14ac:dyDescent="0.2">
      <c r="A17" s="333"/>
      <c r="B17" s="303"/>
      <c r="C17" s="315"/>
      <c r="D17" s="287"/>
      <c r="E17" s="287"/>
      <c r="F17" s="35">
        <f>+N17</f>
        <v>5.0000000000000001E-3</v>
      </c>
      <c r="G17" s="287"/>
      <c r="H17" s="33" t="s">
        <v>84</v>
      </c>
      <c r="I17" s="33" t="s">
        <v>81</v>
      </c>
      <c r="J17" s="287"/>
      <c r="K17" s="33" t="s">
        <v>96</v>
      </c>
      <c r="L17" s="287"/>
      <c r="M17" s="50">
        <v>0.9</v>
      </c>
      <c r="N17" s="35">
        <v>5.0000000000000001E-3</v>
      </c>
      <c r="O17" s="252">
        <v>0.85529999999999995</v>
      </c>
      <c r="P17" s="251">
        <f>O17/M17</f>
        <v>0.95033333333333325</v>
      </c>
      <c r="Q17" s="37">
        <f>IF(P17&lt;=100%,P17*N17,N17)</f>
        <v>4.7516666666666662E-3</v>
      </c>
      <c r="R17" s="300"/>
      <c r="S17" s="201" t="s">
        <v>548</v>
      </c>
    </row>
    <row r="18" spans="1:19" ht="101.25" customHeight="1" x14ac:dyDescent="0.2">
      <c r="A18" s="333"/>
      <c r="B18" s="303" t="str">
        <f>'Objetivos Estratégicos'!B6</f>
        <v xml:space="preserve">Administrar y optimizar eficientemente los recursos financieros acorde con las expectativas de los asociados. </v>
      </c>
      <c r="C18" s="315">
        <f>+SUM(F18:F19)</f>
        <v>0.01</v>
      </c>
      <c r="D18" s="287" t="s">
        <v>423</v>
      </c>
      <c r="E18" s="287"/>
      <c r="F18" s="35">
        <f>+N18</f>
        <v>5.0000000000000001E-3</v>
      </c>
      <c r="G18" s="287"/>
      <c r="H18" s="33" t="s">
        <v>85</v>
      </c>
      <c r="I18" s="33" t="s">
        <v>424</v>
      </c>
      <c r="J18" s="287"/>
      <c r="K18" s="33" t="s">
        <v>87</v>
      </c>
      <c r="L18" s="287" t="s">
        <v>50</v>
      </c>
      <c r="M18" s="52" t="s">
        <v>119</v>
      </c>
      <c r="N18" s="35">
        <v>5.0000000000000001E-3</v>
      </c>
      <c r="O18" s="21">
        <v>1.54</v>
      </c>
      <c r="P18" s="53">
        <f>IF(AVERAGE(O18)&gt;1.25,100%,IF(AVERAGE(O18)&lt;1.25,AVERAGE(O18)/1.25,0))</f>
        <v>1</v>
      </c>
      <c r="Q18" s="37">
        <f>IF(P18&lt;=100%,P18*N18,N18)</f>
        <v>5.0000000000000001E-3</v>
      </c>
      <c r="R18" s="300"/>
      <c r="S18" s="201" t="s">
        <v>549</v>
      </c>
    </row>
    <row r="19" spans="1:19" ht="134.25" customHeight="1" x14ac:dyDescent="0.2">
      <c r="A19" s="284"/>
      <c r="B19" s="303"/>
      <c r="C19" s="315"/>
      <c r="D19" s="287"/>
      <c r="E19" s="287"/>
      <c r="F19" s="35">
        <f>+N19</f>
        <v>5.0000000000000001E-3</v>
      </c>
      <c r="G19" s="287"/>
      <c r="H19" s="33" t="s">
        <v>86</v>
      </c>
      <c r="I19" s="33" t="s">
        <v>82</v>
      </c>
      <c r="J19" s="287"/>
      <c r="K19" s="33" t="s">
        <v>88</v>
      </c>
      <c r="L19" s="287"/>
      <c r="M19" s="50" t="s">
        <v>120</v>
      </c>
      <c r="N19" s="35">
        <v>5.0000000000000001E-3</v>
      </c>
      <c r="O19" s="178">
        <v>0.19</v>
      </c>
      <c r="P19" s="51">
        <f>IF(O19&lt;30%,100%,IF(O19&lt;40%,80%,IF(O19&lt;50%,70%,60%)))</f>
        <v>1</v>
      </c>
      <c r="Q19" s="37">
        <f>IF(P19&lt;=100%,P19*N19,N19)</f>
        <v>5.0000000000000001E-3</v>
      </c>
      <c r="R19" s="301"/>
      <c r="S19" s="253" t="s">
        <v>550</v>
      </c>
    </row>
    <row r="20" spans="1:19" ht="13.5" customHeight="1" x14ac:dyDescent="0.2">
      <c r="A20" s="304" t="s">
        <v>12</v>
      </c>
      <c r="B20" s="304"/>
      <c r="C20" s="304"/>
      <c r="D20" s="304"/>
      <c r="E20" s="304"/>
      <c r="F20" s="304"/>
      <c r="G20" s="304"/>
      <c r="H20" s="304"/>
      <c r="I20" s="304"/>
      <c r="J20" s="304"/>
      <c r="K20" s="304"/>
      <c r="L20" s="304"/>
      <c r="M20" s="304"/>
      <c r="N20" s="304"/>
      <c r="O20" s="304"/>
      <c r="P20" s="304"/>
      <c r="Q20" s="304"/>
      <c r="R20" s="54">
        <f>SUM(R11:R19)</f>
        <v>0.82643518518518522</v>
      </c>
      <c r="S20" s="244"/>
    </row>
    <row r="22" spans="1:19" ht="35.25" customHeight="1" x14ac:dyDescent="0.2">
      <c r="C22" s="106">
        <f>+C18+C16+C14+C12</f>
        <v>3.6000000000000004E-2</v>
      </c>
      <c r="S22" s="130" t="s">
        <v>366</v>
      </c>
    </row>
  </sheetData>
  <mergeCells count="65">
    <mergeCell ref="Q11:Q12"/>
    <mergeCell ref="R11:R12"/>
    <mergeCell ref="P13:P14"/>
    <mergeCell ref="Q13:Q14"/>
    <mergeCell ref="R13:R14"/>
    <mergeCell ref="D15:E15"/>
    <mergeCell ref="B14:B15"/>
    <mergeCell ref="C14:C15"/>
    <mergeCell ref="A14:A19"/>
    <mergeCell ref="F14:F15"/>
    <mergeCell ref="D14:E14"/>
    <mergeCell ref="A20:Q20"/>
    <mergeCell ref="L18:L19"/>
    <mergeCell ref="D16:E17"/>
    <mergeCell ref="B16:B17"/>
    <mergeCell ref="C16:C17"/>
    <mergeCell ref="B18:B19"/>
    <mergeCell ref="C18:C19"/>
    <mergeCell ref="D18:E19"/>
    <mergeCell ref="R16:R19"/>
    <mergeCell ref="D12:E12"/>
    <mergeCell ref="A11:G11"/>
    <mergeCell ref="H11:H12"/>
    <mergeCell ref="I11:I12"/>
    <mergeCell ref="J11:J12"/>
    <mergeCell ref="K11:K12"/>
    <mergeCell ref="N11:N12"/>
    <mergeCell ref="I13:I14"/>
    <mergeCell ref="G16:G19"/>
    <mergeCell ref="J16:J19"/>
    <mergeCell ref="L16:L17"/>
    <mergeCell ref="J13:J14"/>
    <mergeCell ref="K13:K14"/>
    <mergeCell ref="P11:P12"/>
    <mergeCell ref="N13:N14"/>
    <mergeCell ref="S13:S14"/>
    <mergeCell ref="S11:S12"/>
    <mergeCell ref="P9:P10"/>
    <mergeCell ref="E1:S3"/>
    <mergeCell ref="S9:S10"/>
    <mergeCell ref="Q9:Q10"/>
    <mergeCell ref="R9:R10"/>
    <mergeCell ref="L13:L14"/>
    <mergeCell ref="M13:M14"/>
    <mergeCell ref="A13:G13"/>
    <mergeCell ref="H13:H14"/>
    <mergeCell ref="L11:L12"/>
    <mergeCell ref="M11:M12"/>
    <mergeCell ref="O9:O10"/>
    <mergeCell ref="O11:O12"/>
    <mergeCell ref="O13:O14"/>
    <mergeCell ref="A1:D3"/>
    <mergeCell ref="A4:S4"/>
    <mergeCell ref="G9:G10"/>
    <mergeCell ref="A5:S5"/>
    <mergeCell ref="A6:S6"/>
    <mergeCell ref="A7:S7"/>
    <mergeCell ref="A8:N8"/>
    <mergeCell ref="A9:A10"/>
    <mergeCell ref="B9:B10"/>
    <mergeCell ref="C9:C10"/>
    <mergeCell ref="D9:E10"/>
    <mergeCell ref="F9:F10"/>
    <mergeCell ref="H9:M9"/>
    <mergeCell ref="N9:N10"/>
  </mergeCells>
  <pageMargins left="0.7" right="0.7" top="0.75" bottom="0.75" header="0.3" footer="0.3"/>
  <pageSetup orientation="portrait" r:id="rId1"/>
  <ignoredErrors>
    <ignoredError sqref="Q18 Q19" evalError="1"/>
    <ignoredError sqref="F14 P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14"/>
  <sheetViews>
    <sheetView showGridLines="0" topLeftCell="B1" zoomScale="70" zoomScaleNormal="70" zoomScalePageLayoutView="125" workbookViewId="0">
      <selection activeCell="M26" sqref="M26"/>
    </sheetView>
  </sheetViews>
  <sheetFormatPr baseColWidth="10" defaultColWidth="10.85546875" defaultRowHeight="12.75" x14ac:dyDescent="0.2"/>
  <cols>
    <col min="1" max="1" width="18.7109375" style="12" customWidth="1"/>
    <col min="2" max="2" width="23" style="12" customWidth="1"/>
    <col min="3" max="3" width="10.28515625" style="12" customWidth="1"/>
    <col min="4" max="4" width="10.85546875" style="12"/>
    <col min="5" max="5" width="25.28515625" style="12" customWidth="1"/>
    <col min="6" max="6" width="10.42578125" style="12" customWidth="1"/>
    <col min="7" max="7" width="16.140625" style="12" customWidth="1"/>
    <col min="8" max="8" width="21.140625" style="12" customWidth="1"/>
    <col min="9" max="9" width="23.140625" style="12" customWidth="1"/>
    <col min="10" max="11" width="21.140625" style="12" customWidth="1"/>
    <col min="12" max="12" width="14.28515625" style="12" customWidth="1"/>
    <col min="13" max="13" width="10.85546875" style="12"/>
    <col min="14" max="14" width="10.42578125" style="12" customWidth="1"/>
    <col min="15" max="15" width="13.28515625" style="12" customWidth="1"/>
    <col min="16" max="16" width="15.42578125" style="12" customWidth="1"/>
    <col min="17" max="17" width="14.7109375" style="12" customWidth="1"/>
    <col min="18" max="18" width="12.7109375" style="12" customWidth="1"/>
    <col min="19" max="19" width="20.7109375" style="12" bestFit="1" customWidth="1"/>
    <col min="20" max="16384" width="10.85546875" style="12"/>
  </cols>
  <sheetData>
    <row r="1" spans="1:19" ht="13.5" customHeight="1" x14ac:dyDescent="0.2">
      <c r="A1" s="399"/>
      <c r="B1" s="399"/>
      <c r="C1" s="399"/>
      <c r="D1" s="399"/>
      <c r="E1" s="269" t="s">
        <v>0</v>
      </c>
      <c r="F1" s="270"/>
      <c r="G1" s="270"/>
      <c r="H1" s="270"/>
      <c r="I1" s="270"/>
      <c r="J1" s="270"/>
      <c r="K1" s="270"/>
      <c r="L1" s="270"/>
      <c r="M1" s="270"/>
      <c r="N1" s="270"/>
      <c r="O1" s="270"/>
      <c r="P1" s="270"/>
      <c r="Q1" s="270"/>
      <c r="R1" s="270"/>
      <c r="S1" s="271"/>
    </row>
    <row r="2" spans="1:19" ht="13.5" customHeight="1" x14ac:dyDescent="0.2">
      <c r="A2" s="399"/>
      <c r="B2" s="399"/>
      <c r="C2" s="399"/>
      <c r="D2" s="399"/>
      <c r="E2" s="272"/>
      <c r="F2" s="273"/>
      <c r="G2" s="273"/>
      <c r="H2" s="273"/>
      <c r="I2" s="273"/>
      <c r="J2" s="273"/>
      <c r="K2" s="273"/>
      <c r="L2" s="273"/>
      <c r="M2" s="273"/>
      <c r="N2" s="273"/>
      <c r="O2" s="273"/>
      <c r="P2" s="273"/>
      <c r="Q2" s="273"/>
      <c r="R2" s="273"/>
      <c r="S2" s="274"/>
    </row>
    <row r="3" spans="1:19" ht="13.5" customHeight="1" x14ac:dyDescent="0.2">
      <c r="A3" s="399"/>
      <c r="B3" s="399"/>
      <c r="C3" s="399"/>
      <c r="D3" s="399"/>
      <c r="E3" s="275"/>
      <c r="F3" s="276"/>
      <c r="G3" s="276"/>
      <c r="H3" s="276"/>
      <c r="I3" s="276"/>
      <c r="J3" s="276"/>
      <c r="K3" s="276"/>
      <c r="L3" s="276"/>
      <c r="M3" s="276"/>
      <c r="N3" s="276"/>
      <c r="O3" s="276"/>
      <c r="P3" s="276"/>
      <c r="Q3" s="276"/>
      <c r="R3" s="276"/>
      <c r="S3" s="277"/>
    </row>
    <row r="4" spans="1:19" x14ac:dyDescent="0.2">
      <c r="A4" s="279" t="s">
        <v>28</v>
      </c>
      <c r="B4" s="279"/>
      <c r="C4" s="279"/>
      <c r="D4" s="279"/>
      <c r="E4" s="279"/>
      <c r="F4" s="279"/>
      <c r="G4" s="279"/>
      <c r="H4" s="279"/>
      <c r="I4" s="279"/>
      <c r="J4" s="279"/>
      <c r="K4" s="279"/>
      <c r="L4" s="279"/>
      <c r="M4" s="279"/>
      <c r="N4" s="279"/>
      <c r="O4" s="279"/>
      <c r="P4" s="279"/>
      <c r="Q4" s="279"/>
      <c r="R4" s="279"/>
      <c r="S4" s="279"/>
    </row>
    <row r="5" spans="1:19" x14ac:dyDescent="0.2">
      <c r="A5" s="279" t="s">
        <v>105</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x14ac:dyDescent="0.2">
      <c r="A7" s="352"/>
      <c r="B7" s="353"/>
      <c r="C7" s="353"/>
      <c r="D7" s="353"/>
      <c r="E7" s="353"/>
      <c r="F7" s="353"/>
      <c r="G7" s="353"/>
      <c r="H7" s="353"/>
      <c r="I7" s="353"/>
      <c r="J7" s="353"/>
      <c r="K7" s="353"/>
      <c r="L7" s="353"/>
      <c r="M7" s="353"/>
      <c r="N7" s="353"/>
      <c r="O7" s="353"/>
      <c r="P7" s="353"/>
      <c r="Q7" s="353"/>
      <c r="R7" s="353"/>
      <c r="S7" s="354"/>
    </row>
    <row r="8" spans="1:19" ht="12.75" customHeight="1" x14ac:dyDescent="0.2">
      <c r="A8" s="278" t="s">
        <v>2</v>
      </c>
      <c r="B8" s="278"/>
      <c r="C8" s="278"/>
      <c r="D8" s="278"/>
      <c r="E8" s="278"/>
      <c r="F8" s="278"/>
      <c r="G8" s="278"/>
      <c r="H8" s="278"/>
      <c r="I8" s="278"/>
      <c r="J8" s="278"/>
      <c r="K8" s="278"/>
      <c r="L8" s="278"/>
      <c r="M8" s="278"/>
      <c r="N8" s="278"/>
      <c r="O8" s="235"/>
      <c r="P8" s="135"/>
      <c r="Q8" s="135"/>
      <c r="R8" s="135"/>
      <c r="S8" s="246"/>
    </row>
    <row r="9" spans="1:19" ht="13.5" customHeight="1" x14ac:dyDescent="0.2">
      <c r="A9" s="288" t="s">
        <v>132</v>
      </c>
      <c r="B9" s="288" t="s">
        <v>3</v>
      </c>
      <c r="C9" s="286" t="s">
        <v>4</v>
      </c>
      <c r="D9" s="288" t="s">
        <v>5</v>
      </c>
      <c r="E9" s="288"/>
      <c r="F9" s="286" t="s">
        <v>4</v>
      </c>
      <c r="G9" s="288" t="s">
        <v>6</v>
      </c>
      <c r="H9" s="288" t="s">
        <v>7</v>
      </c>
      <c r="I9" s="288"/>
      <c r="J9" s="288"/>
      <c r="K9" s="288"/>
      <c r="L9" s="288"/>
      <c r="M9" s="288"/>
      <c r="N9" s="286" t="s">
        <v>4</v>
      </c>
      <c r="O9" s="290" t="s">
        <v>531</v>
      </c>
      <c r="P9" s="286" t="s">
        <v>8</v>
      </c>
      <c r="Q9" s="286" t="s">
        <v>9</v>
      </c>
      <c r="R9" s="286" t="s">
        <v>10</v>
      </c>
      <c r="S9" s="290" t="s">
        <v>535</v>
      </c>
    </row>
    <row r="10" spans="1:19" ht="51" customHeight="1" x14ac:dyDescent="0.2">
      <c r="A10" s="288"/>
      <c r="B10" s="288"/>
      <c r="C10" s="286"/>
      <c r="D10" s="288"/>
      <c r="E10" s="288"/>
      <c r="F10" s="286"/>
      <c r="G10" s="288"/>
      <c r="H10" s="135" t="s">
        <v>43</v>
      </c>
      <c r="I10" s="144" t="s">
        <v>42</v>
      </c>
      <c r="J10" s="144" t="s">
        <v>47</v>
      </c>
      <c r="K10" s="135" t="s">
        <v>31</v>
      </c>
      <c r="L10" s="144" t="s">
        <v>48</v>
      </c>
      <c r="M10" s="144" t="s">
        <v>52</v>
      </c>
      <c r="N10" s="286"/>
      <c r="O10" s="290"/>
      <c r="P10" s="286"/>
      <c r="Q10" s="286"/>
      <c r="R10" s="286"/>
      <c r="S10" s="290"/>
    </row>
    <row r="11" spans="1:19" ht="147.75" customHeight="1" x14ac:dyDescent="0.2">
      <c r="A11" s="138" t="s">
        <v>131</v>
      </c>
      <c r="B11" s="138" t="str">
        <f>+'Objetivos Estratégicos'!B7</f>
        <v xml:space="preserve">Incrementar el nivel de eficiencia y eficacia operativa y administrativa en la gestión y ejecución de los procesos. </v>
      </c>
      <c r="C11" s="142">
        <f>+F11</f>
        <v>0.01</v>
      </c>
      <c r="D11" s="287" t="s">
        <v>429</v>
      </c>
      <c r="E11" s="287"/>
      <c r="F11" s="142">
        <f>+N11</f>
        <v>0.01</v>
      </c>
      <c r="G11" s="134" t="s">
        <v>29</v>
      </c>
      <c r="H11" s="134" t="s">
        <v>128</v>
      </c>
      <c r="I11" s="134" t="s">
        <v>129</v>
      </c>
      <c r="J11" s="134" t="s">
        <v>49</v>
      </c>
      <c r="K11" s="134" t="s">
        <v>130</v>
      </c>
      <c r="L11" s="134" t="s">
        <v>30</v>
      </c>
      <c r="M11" s="143">
        <v>1</v>
      </c>
      <c r="N11" s="145">
        <v>0.01</v>
      </c>
      <c r="O11" s="178">
        <v>0.95</v>
      </c>
      <c r="P11" s="240">
        <f>O11/M11</f>
        <v>0.95</v>
      </c>
      <c r="Q11" s="137">
        <f>IF(P11&lt;=100%,P11*N11,N11)</f>
        <v>9.4999999999999998E-3</v>
      </c>
      <c r="R11" s="240">
        <f>(Q11/1)*100</f>
        <v>0.95</v>
      </c>
      <c r="S11" s="175" t="s">
        <v>445</v>
      </c>
    </row>
    <row r="12" spans="1:19" x14ac:dyDescent="0.2">
      <c r="A12" s="304" t="s">
        <v>12</v>
      </c>
      <c r="B12" s="304"/>
      <c r="C12" s="304"/>
      <c r="D12" s="304"/>
      <c r="E12" s="304"/>
      <c r="F12" s="304"/>
      <c r="G12" s="304"/>
      <c r="H12" s="304"/>
      <c r="I12" s="304"/>
      <c r="J12" s="304"/>
      <c r="K12" s="304"/>
      <c r="L12" s="304"/>
      <c r="M12" s="304"/>
      <c r="N12" s="304"/>
      <c r="O12" s="304"/>
      <c r="P12" s="304"/>
      <c r="Q12" s="304"/>
      <c r="R12" s="49">
        <f>SUM(R11:R11)</f>
        <v>0.95</v>
      </c>
      <c r="S12" s="244"/>
    </row>
    <row r="14" spans="1:19" ht="36" x14ac:dyDescent="0.2">
      <c r="C14" s="154">
        <f>+C11</f>
        <v>0.01</v>
      </c>
      <c r="S14" s="129" t="s">
        <v>366</v>
      </c>
    </row>
  </sheetData>
  <mergeCells count="22">
    <mergeCell ref="A12:Q12"/>
    <mergeCell ref="S9:S10"/>
    <mergeCell ref="D11:E11"/>
    <mergeCell ref="P9:P10"/>
    <mergeCell ref="Q9:Q10"/>
    <mergeCell ref="R9:R10"/>
    <mergeCell ref="A9:A10"/>
    <mergeCell ref="B9:B10"/>
    <mergeCell ref="C9:C10"/>
    <mergeCell ref="D9:E10"/>
    <mergeCell ref="F9:F10"/>
    <mergeCell ref="A8:N8"/>
    <mergeCell ref="G9:G10"/>
    <mergeCell ref="H9:M9"/>
    <mergeCell ref="N9:N10"/>
    <mergeCell ref="A7:S7"/>
    <mergeCell ref="O9:O10"/>
    <mergeCell ref="A4:S4"/>
    <mergeCell ref="A1:D3"/>
    <mergeCell ref="E1:S3"/>
    <mergeCell ref="A5:S5"/>
    <mergeCell ref="A6:S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WQ45"/>
  <sheetViews>
    <sheetView showGridLines="0" zoomScale="60" zoomScaleNormal="60" zoomScalePageLayoutView="70" workbookViewId="0">
      <selection activeCell="Q16" sqref="Q16:Q17"/>
    </sheetView>
  </sheetViews>
  <sheetFormatPr baseColWidth="10" defaultColWidth="0" defaultRowHeight="12.75" x14ac:dyDescent="0.2"/>
  <cols>
    <col min="1" max="1" width="19.7109375" style="12" customWidth="1"/>
    <col min="2" max="2" width="19.42578125" style="12" customWidth="1"/>
    <col min="3" max="3" width="10.42578125" style="12" customWidth="1"/>
    <col min="4" max="4" width="16.42578125" style="12" customWidth="1"/>
    <col min="5" max="5" width="27.28515625" style="12" customWidth="1"/>
    <col min="6" max="6" width="10.140625" style="12" customWidth="1"/>
    <col min="7" max="7" width="18.140625" style="12" customWidth="1"/>
    <col min="8" max="8" width="21" style="12" customWidth="1"/>
    <col min="9" max="9" width="23.7109375" style="12" customWidth="1"/>
    <col min="10" max="10" width="12.5703125" style="12" customWidth="1"/>
    <col min="11" max="11" width="25.42578125" style="12" customWidth="1"/>
    <col min="12" max="12" width="12.42578125" style="12" customWidth="1"/>
    <col min="13" max="13" width="13.42578125" style="20" customWidth="1"/>
    <col min="14" max="14" width="11.42578125" style="12" customWidth="1"/>
    <col min="15" max="15" width="12.85546875" style="12" customWidth="1"/>
    <col min="16" max="16" width="13.42578125" style="12" customWidth="1"/>
    <col min="17" max="17" width="16" style="12" customWidth="1"/>
    <col min="18" max="18" width="13.7109375" style="12" customWidth="1"/>
    <col min="19" max="19" width="51.28515625" style="12" customWidth="1"/>
    <col min="20" max="20" width="23.42578125" style="12" customWidth="1"/>
    <col min="21" max="242" width="10.85546875" style="12" hidden="1"/>
    <col min="243" max="243" width="19.7109375" style="12" hidden="1"/>
    <col min="244" max="244" width="19.42578125" style="12" hidden="1"/>
    <col min="245" max="245" width="10.42578125" style="12" hidden="1"/>
    <col min="246" max="246" width="16.42578125" style="12" hidden="1"/>
    <col min="247" max="247" width="27.28515625" style="12" hidden="1"/>
    <col min="248" max="248" width="10.140625" style="12" hidden="1"/>
    <col min="249" max="249" width="18.140625" style="12" hidden="1"/>
    <col min="250" max="250" width="21" style="12" hidden="1"/>
    <col min="251" max="251" width="23.7109375" style="12" hidden="1"/>
    <col min="252" max="252" width="10.7109375" style="12" hidden="1"/>
    <col min="253" max="253" width="25.42578125" style="12" hidden="1"/>
    <col min="254" max="254" width="12.42578125" style="12" hidden="1"/>
    <col min="255" max="255" width="13.42578125" style="12" hidden="1"/>
    <col min="256" max="256" width="10.28515625" style="12" hidden="1"/>
    <col min="257" max="265" width="15.42578125" style="12" hidden="1"/>
    <col min="266" max="266" width="15.85546875" style="12" hidden="1"/>
    <col min="267" max="267" width="13.42578125" style="12" hidden="1"/>
    <col min="268" max="268" width="12.85546875" style="12" hidden="1"/>
    <col min="269" max="269" width="13.42578125" style="12" hidden="1"/>
    <col min="270" max="270" width="16" style="12" hidden="1"/>
    <col min="271" max="271" width="12.28515625" style="12" hidden="1"/>
    <col min="272" max="272" width="17.28515625" style="12" hidden="1"/>
    <col min="273" max="273" width="16.28515625" style="12" hidden="1"/>
    <col min="274" max="274" width="22.5703125" style="12" hidden="1"/>
    <col min="275" max="275" width="21.140625" style="12" hidden="1"/>
    <col min="276" max="276" width="23.42578125" style="12" hidden="1"/>
    <col min="277" max="498" width="10.85546875" style="12" hidden="1"/>
    <col min="499" max="499" width="19.7109375" style="12" hidden="1"/>
    <col min="500" max="500" width="19.42578125" style="12" hidden="1"/>
    <col min="501" max="501" width="10.42578125" style="12" hidden="1"/>
    <col min="502" max="502" width="16.42578125" style="12" hidden="1"/>
    <col min="503" max="503" width="27.28515625" style="12" hidden="1"/>
    <col min="504" max="504" width="10.140625" style="12" hidden="1"/>
    <col min="505" max="505" width="18.140625" style="12" hidden="1"/>
    <col min="506" max="506" width="21" style="12" hidden="1"/>
    <col min="507" max="507" width="23.7109375" style="12" hidden="1"/>
    <col min="508" max="508" width="10.7109375" style="12" hidden="1"/>
    <col min="509" max="509" width="25.42578125" style="12" hidden="1"/>
    <col min="510" max="510" width="12.42578125" style="12" hidden="1"/>
    <col min="511" max="511" width="13.42578125" style="12" hidden="1"/>
    <col min="512" max="512" width="10.28515625" style="12" hidden="1"/>
    <col min="513" max="521" width="15.42578125" style="12" hidden="1"/>
    <col min="522" max="522" width="15.85546875" style="12" hidden="1"/>
    <col min="523" max="523" width="13.42578125" style="12" hidden="1"/>
    <col min="524" max="524" width="12.85546875" style="12" hidden="1"/>
    <col min="525" max="525" width="13.42578125" style="12" hidden="1"/>
    <col min="526" max="526" width="16" style="12" hidden="1"/>
    <col min="527" max="527" width="12.28515625" style="12" hidden="1"/>
    <col min="528" max="528" width="17.28515625" style="12" hidden="1"/>
    <col min="529" max="529" width="16.28515625" style="12" hidden="1"/>
    <col min="530" max="530" width="22.5703125" style="12" hidden="1"/>
    <col min="531" max="531" width="21.140625" style="12" hidden="1"/>
    <col min="532" max="532" width="23.42578125" style="12" hidden="1"/>
    <col min="533" max="754" width="10.85546875" style="12" hidden="1"/>
    <col min="755" max="755" width="19.7109375" style="12" hidden="1"/>
    <col min="756" max="756" width="19.42578125" style="12" hidden="1"/>
    <col min="757" max="757" width="10.42578125" style="12" hidden="1"/>
    <col min="758" max="758" width="16.42578125" style="12" hidden="1"/>
    <col min="759" max="759" width="27.28515625" style="12" hidden="1"/>
    <col min="760" max="760" width="10.140625" style="12" hidden="1"/>
    <col min="761" max="761" width="18.140625" style="12" hidden="1"/>
    <col min="762" max="762" width="21" style="12" hidden="1"/>
    <col min="763" max="763" width="23.7109375" style="12" hidden="1"/>
    <col min="764" max="764" width="10.7109375" style="12" hidden="1"/>
    <col min="765" max="765" width="25.42578125" style="12" hidden="1"/>
    <col min="766" max="766" width="12.42578125" style="12" hidden="1"/>
    <col min="767" max="767" width="13.42578125" style="12" hidden="1"/>
    <col min="768" max="768" width="10.28515625" style="12" hidden="1"/>
    <col min="769" max="777" width="15.42578125" style="12" hidden="1"/>
    <col min="778" max="778" width="15.85546875" style="12" hidden="1"/>
    <col min="779" max="779" width="13.42578125" style="12" hidden="1"/>
    <col min="780" max="780" width="12.85546875" style="12" hidden="1"/>
    <col min="781" max="781" width="13.42578125" style="12" hidden="1"/>
    <col min="782" max="782" width="16" style="12" hidden="1"/>
    <col min="783" max="783" width="12.28515625" style="12" hidden="1"/>
    <col min="784" max="784" width="17.28515625" style="12" hidden="1"/>
    <col min="785" max="785" width="16.28515625" style="12" hidden="1"/>
    <col min="786" max="786" width="22.5703125" style="12" hidden="1"/>
    <col min="787" max="787" width="21.140625" style="12" hidden="1"/>
    <col min="788" max="788" width="23.42578125" style="12" hidden="1"/>
    <col min="789" max="1010" width="10.85546875" style="12" hidden="1"/>
    <col min="1011" max="1011" width="19.7109375" style="12" hidden="1"/>
    <col min="1012" max="1012" width="19.42578125" style="12" hidden="1"/>
    <col min="1013" max="1013" width="10.42578125" style="12" hidden="1"/>
    <col min="1014" max="1014" width="16.42578125" style="12" hidden="1"/>
    <col min="1015" max="1015" width="27.28515625" style="12" hidden="1"/>
    <col min="1016" max="1016" width="10.140625" style="12" hidden="1"/>
    <col min="1017" max="1017" width="18.140625" style="12" hidden="1"/>
    <col min="1018" max="1018" width="21" style="12" hidden="1"/>
    <col min="1019" max="1019" width="23.7109375" style="12" hidden="1"/>
    <col min="1020" max="1020" width="10.7109375" style="12" hidden="1"/>
    <col min="1021" max="1021" width="25.42578125" style="12" hidden="1"/>
    <col min="1022" max="1022" width="12.42578125" style="12" hidden="1"/>
    <col min="1023" max="1023" width="13.42578125" style="12" hidden="1"/>
    <col min="1024" max="1024" width="10.28515625" style="12" hidden="1"/>
    <col min="1025" max="1033" width="15.42578125" style="12" hidden="1"/>
    <col min="1034" max="1034" width="15.85546875" style="12" hidden="1"/>
    <col min="1035" max="1035" width="13.42578125" style="12" hidden="1"/>
    <col min="1036" max="1036" width="12.85546875" style="12" hidden="1"/>
    <col min="1037" max="1037" width="13.42578125" style="12" hidden="1"/>
    <col min="1038" max="1038" width="16" style="12" hidden="1"/>
    <col min="1039" max="1039" width="12.28515625" style="12" hidden="1"/>
    <col min="1040" max="1040" width="17.28515625" style="12" hidden="1"/>
    <col min="1041" max="1041" width="16.28515625" style="12" hidden="1"/>
    <col min="1042" max="1042" width="22.5703125" style="12" hidden="1"/>
    <col min="1043" max="1043" width="21.140625" style="12" hidden="1"/>
    <col min="1044" max="1044" width="23.42578125" style="12" hidden="1"/>
    <col min="1045" max="1266" width="10.85546875" style="12" hidden="1"/>
    <col min="1267" max="1267" width="19.7109375" style="12" hidden="1"/>
    <col min="1268" max="1268" width="19.42578125" style="12" hidden="1"/>
    <col min="1269" max="1269" width="10.42578125" style="12" hidden="1"/>
    <col min="1270" max="1270" width="16.42578125" style="12" hidden="1"/>
    <col min="1271" max="1271" width="27.28515625" style="12" hidden="1"/>
    <col min="1272" max="1272" width="10.140625" style="12" hidden="1"/>
    <col min="1273" max="1273" width="18.140625" style="12" hidden="1"/>
    <col min="1274" max="1274" width="21" style="12" hidden="1"/>
    <col min="1275" max="1275" width="23.7109375" style="12" hidden="1"/>
    <col min="1276" max="1276" width="10.7109375" style="12" hidden="1"/>
    <col min="1277" max="1277" width="25.42578125" style="12" hidden="1"/>
    <col min="1278" max="1278" width="12.42578125" style="12" hidden="1"/>
    <col min="1279" max="1279" width="13.42578125" style="12" hidden="1"/>
    <col min="1280" max="1280" width="10.28515625" style="12" hidden="1"/>
    <col min="1281" max="1289" width="15.42578125" style="12" hidden="1"/>
    <col min="1290" max="1290" width="15.85546875" style="12" hidden="1"/>
    <col min="1291" max="1291" width="13.42578125" style="12" hidden="1"/>
    <col min="1292" max="1292" width="12.85546875" style="12" hidden="1"/>
    <col min="1293" max="1293" width="13.42578125" style="12" hidden="1"/>
    <col min="1294" max="1294" width="16" style="12" hidden="1"/>
    <col min="1295" max="1295" width="12.28515625" style="12" hidden="1"/>
    <col min="1296" max="1296" width="17.28515625" style="12" hidden="1"/>
    <col min="1297" max="1297" width="16.28515625" style="12" hidden="1"/>
    <col min="1298" max="1298" width="22.5703125" style="12" hidden="1"/>
    <col min="1299" max="1299" width="21.140625" style="12" hidden="1"/>
    <col min="1300" max="1300" width="23.42578125" style="12" hidden="1"/>
    <col min="1301" max="1522" width="10.85546875" style="12" hidden="1"/>
    <col min="1523" max="1523" width="19.7109375" style="12" hidden="1"/>
    <col min="1524" max="1524" width="19.42578125" style="12" hidden="1"/>
    <col min="1525" max="1525" width="10.42578125" style="12" hidden="1"/>
    <col min="1526" max="1526" width="16.42578125" style="12" hidden="1"/>
    <col min="1527" max="1527" width="27.28515625" style="12" hidden="1"/>
    <col min="1528" max="1528" width="10.140625" style="12" hidden="1"/>
    <col min="1529" max="1529" width="18.140625" style="12" hidden="1"/>
    <col min="1530" max="1530" width="21" style="12" hidden="1"/>
    <col min="1531" max="1531" width="23.7109375" style="12" hidden="1"/>
    <col min="1532" max="1532" width="10.7109375" style="12" hidden="1"/>
    <col min="1533" max="1533" width="25.42578125" style="12" hidden="1"/>
    <col min="1534" max="1534" width="12.42578125" style="12" hidden="1"/>
    <col min="1535" max="1535" width="13.42578125" style="12" hidden="1"/>
    <col min="1536" max="1536" width="10.28515625" style="12" hidden="1"/>
    <col min="1537" max="1545" width="15.42578125" style="12" hidden="1"/>
    <col min="1546" max="1546" width="15.85546875" style="12" hidden="1"/>
    <col min="1547" max="1547" width="13.42578125" style="12" hidden="1"/>
    <col min="1548" max="1548" width="12.85546875" style="12" hidden="1"/>
    <col min="1549" max="1549" width="13.42578125" style="12" hidden="1"/>
    <col min="1550" max="1550" width="16" style="12" hidden="1"/>
    <col min="1551" max="1551" width="12.28515625" style="12" hidden="1"/>
    <col min="1552" max="1552" width="17.28515625" style="12" hidden="1"/>
    <col min="1553" max="1553" width="16.28515625" style="12" hidden="1"/>
    <col min="1554" max="1554" width="22.5703125" style="12" hidden="1"/>
    <col min="1555" max="1555" width="21.140625" style="12" hidden="1"/>
    <col min="1556" max="1556" width="23.42578125" style="12" hidden="1"/>
    <col min="1557" max="1778" width="10.85546875" style="12" hidden="1"/>
    <col min="1779" max="1779" width="19.7109375" style="12" hidden="1"/>
    <col min="1780" max="1780" width="19.42578125" style="12" hidden="1"/>
    <col min="1781" max="1781" width="10.42578125" style="12" hidden="1"/>
    <col min="1782" max="1782" width="16.42578125" style="12" hidden="1"/>
    <col min="1783" max="1783" width="27.28515625" style="12" hidden="1"/>
    <col min="1784" max="1784" width="10.140625" style="12" hidden="1"/>
    <col min="1785" max="1785" width="18.140625" style="12" hidden="1"/>
    <col min="1786" max="1786" width="21" style="12" hidden="1"/>
    <col min="1787" max="1787" width="23.7109375" style="12" hidden="1"/>
    <col min="1788" max="1788" width="10.7109375" style="12" hidden="1"/>
    <col min="1789" max="1789" width="25.42578125" style="12" hidden="1"/>
    <col min="1790" max="1790" width="12.42578125" style="12" hidden="1"/>
    <col min="1791" max="1791" width="13.42578125" style="12" hidden="1"/>
    <col min="1792" max="1792" width="10.28515625" style="12" hidden="1"/>
    <col min="1793" max="1801" width="15.42578125" style="12" hidden="1"/>
    <col min="1802" max="1802" width="15.85546875" style="12" hidden="1"/>
    <col min="1803" max="1803" width="13.42578125" style="12" hidden="1"/>
    <col min="1804" max="1804" width="12.85546875" style="12" hidden="1"/>
    <col min="1805" max="1805" width="13.42578125" style="12" hidden="1"/>
    <col min="1806" max="1806" width="16" style="12" hidden="1"/>
    <col min="1807" max="1807" width="12.28515625" style="12" hidden="1"/>
    <col min="1808" max="1808" width="17.28515625" style="12" hidden="1"/>
    <col min="1809" max="1809" width="16.28515625" style="12" hidden="1"/>
    <col min="1810" max="1810" width="22.5703125" style="12" hidden="1"/>
    <col min="1811" max="1811" width="21.140625" style="12" hidden="1"/>
    <col min="1812" max="1812" width="23.42578125" style="12" hidden="1"/>
    <col min="1813" max="2034" width="10.85546875" style="12" hidden="1"/>
    <col min="2035" max="2035" width="19.7109375" style="12" hidden="1"/>
    <col min="2036" max="2036" width="19.42578125" style="12" hidden="1"/>
    <col min="2037" max="2037" width="10.42578125" style="12" hidden="1"/>
    <col min="2038" max="2038" width="16.42578125" style="12" hidden="1"/>
    <col min="2039" max="2039" width="27.28515625" style="12" hidden="1"/>
    <col min="2040" max="2040" width="10.140625" style="12" hidden="1"/>
    <col min="2041" max="2041" width="18.140625" style="12" hidden="1"/>
    <col min="2042" max="2042" width="21" style="12" hidden="1"/>
    <col min="2043" max="2043" width="23.7109375" style="12" hidden="1"/>
    <col min="2044" max="2044" width="10.7109375" style="12" hidden="1"/>
    <col min="2045" max="2045" width="25.42578125" style="12" hidden="1"/>
    <col min="2046" max="2046" width="12.42578125" style="12" hidden="1"/>
    <col min="2047" max="2047" width="13.42578125" style="12" hidden="1"/>
    <col min="2048" max="2048" width="10.28515625" style="12" hidden="1"/>
    <col min="2049" max="2057" width="15.42578125" style="12" hidden="1"/>
    <col min="2058" max="2058" width="15.85546875" style="12" hidden="1"/>
    <col min="2059" max="2059" width="13.42578125" style="12" hidden="1"/>
    <col min="2060" max="2060" width="12.85546875" style="12" hidden="1"/>
    <col min="2061" max="2061" width="13.42578125" style="12" hidden="1"/>
    <col min="2062" max="2062" width="16" style="12" hidden="1"/>
    <col min="2063" max="2063" width="12.28515625" style="12" hidden="1"/>
    <col min="2064" max="2064" width="17.28515625" style="12" hidden="1"/>
    <col min="2065" max="2065" width="16.28515625" style="12" hidden="1"/>
    <col min="2066" max="2066" width="22.5703125" style="12" hidden="1"/>
    <col min="2067" max="2067" width="21.140625" style="12" hidden="1"/>
    <col min="2068" max="2068" width="23.42578125" style="12" hidden="1"/>
    <col min="2069" max="2290" width="10.85546875" style="12" hidden="1"/>
    <col min="2291" max="2291" width="19.7109375" style="12" hidden="1"/>
    <col min="2292" max="2292" width="19.42578125" style="12" hidden="1"/>
    <col min="2293" max="2293" width="10.42578125" style="12" hidden="1"/>
    <col min="2294" max="2294" width="16.42578125" style="12" hidden="1"/>
    <col min="2295" max="2295" width="27.28515625" style="12" hidden="1"/>
    <col min="2296" max="2296" width="10.140625" style="12" hidden="1"/>
    <col min="2297" max="2297" width="18.140625" style="12" hidden="1"/>
    <col min="2298" max="2298" width="21" style="12" hidden="1"/>
    <col min="2299" max="2299" width="23.7109375" style="12" hidden="1"/>
    <col min="2300" max="2300" width="10.7109375" style="12" hidden="1"/>
    <col min="2301" max="2301" width="25.42578125" style="12" hidden="1"/>
    <col min="2302" max="2302" width="12.42578125" style="12" hidden="1"/>
    <col min="2303" max="2303" width="13.42578125" style="12" hidden="1"/>
    <col min="2304" max="2304" width="10.28515625" style="12" hidden="1"/>
    <col min="2305" max="2313" width="15.42578125" style="12" hidden="1"/>
    <col min="2314" max="2314" width="15.85546875" style="12" hidden="1"/>
    <col min="2315" max="2315" width="13.42578125" style="12" hidden="1"/>
    <col min="2316" max="2316" width="12.85546875" style="12" hidden="1"/>
    <col min="2317" max="2317" width="13.42578125" style="12" hidden="1"/>
    <col min="2318" max="2318" width="16" style="12" hidden="1"/>
    <col min="2319" max="2319" width="12.28515625" style="12" hidden="1"/>
    <col min="2320" max="2320" width="17.28515625" style="12" hidden="1"/>
    <col min="2321" max="2321" width="16.28515625" style="12" hidden="1"/>
    <col min="2322" max="2322" width="22.5703125" style="12" hidden="1"/>
    <col min="2323" max="2323" width="21.140625" style="12" hidden="1"/>
    <col min="2324" max="2324" width="23.42578125" style="12" hidden="1"/>
    <col min="2325" max="2546" width="10.85546875" style="12" hidden="1"/>
    <col min="2547" max="2547" width="19.7109375" style="12" hidden="1"/>
    <col min="2548" max="2548" width="19.42578125" style="12" hidden="1"/>
    <col min="2549" max="2549" width="10.42578125" style="12" hidden="1"/>
    <col min="2550" max="2550" width="16.42578125" style="12" hidden="1"/>
    <col min="2551" max="2551" width="27.28515625" style="12" hidden="1"/>
    <col min="2552" max="2552" width="10.140625" style="12" hidden="1"/>
    <col min="2553" max="2553" width="18.140625" style="12" hidden="1"/>
    <col min="2554" max="2554" width="21" style="12" hidden="1"/>
    <col min="2555" max="2555" width="23.7109375" style="12" hidden="1"/>
    <col min="2556" max="2556" width="10.7109375" style="12" hidden="1"/>
    <col min="2557" max="2557" width="25.42578125" style="12" hidden="1"/>
    <col min="2558" max="2558" width="12.42578125" style="12" hidden="1"/>
    <col min="2559" max="2559" width="13.42578125" style="12" hidden="1"/>
    <col min="2560" max="2560" width="10.28515625" style="12" hidden="1"/>
    <col min="2561" max="2569" width="15.42578125" style="12" hidden="1"/>
    <col min="2570" max="2570" width="15.85546875" style="12" hidden="1"/>
    <col min="2571" max="2571" width="13.42578125" style="12" hidden="1"/>
    <col min="2572" max="2572" width="12.85546875" style="12" hidden="1"/>
    <col min="2573" max="2573" width="13.42578125" style="12" hidden="1"/>
    <col min="2574" max="2574" width="16" style="12" hidden="1"/>
    <col min="2575" max="2575" width="12.28515625" style="12" hidden="1"/>
    <col min="2576" max="2576" width="17.28515625" style="12" hidden="1"/>
    <col min="2577" max="2577" width="16.28515625" style="12" hidden="1"/>
    <col min="2578" max="2578" width="22.5703125" style="12" hidden="1"/>
    <col min="2579" max="2579" width="21.140625" style="12" hidden="1"/>
    <col min="2580" max="2580" width="23.42578125" style="12" hidden="1"/>
    <col min="2581" max="2802" width="10.85546875" style="12" hidden="1"/>
    <col min="2803" max="2803" width="19.7109375" style="12" hidden="1"/>
    <col min="2804" max="2804" width="19.42578125" style="12" hidden="1"/>
    <col min="2805" max="2805" width="10.42578125" style="12" hidden="1"/>
    <col min="2806" max="2806" width="16.42578125" style="12" hidden="1"/>
    <col min="2807" max="2807" width="27.28515625" style="12" hidden="1"/>
    <col min="2808" max="2808" width="10.140625" style="12" hidden="1"/>
    <col min="2809" max="2809" width="18.140625" style="12" hidden="1"/>
    <col min="2810" max="2810" width="21" style="12" hidden="1"/>
    <col min="2811" max="2811" width="23.7109375" style="12" hidden="1"/>
    <col min="2812" max="2812" width="10.7109375" style="12" hidden="1"/>
    <col min="2813" max="2813" width="25.42578125" style="12" hidden="1"/>
    <col min="2814" max="2814" width="12.42578125" style="12" hidden="1"/>
    <col min="2815" max="2815" width="13.42578125" style="12" hidden="1"/>
    <col min="2816" max="2816" width="10.28515625" style="12" hidden="1"/>
    <col min="2817" max="2825" width="15.42578125" style="12" hidden="1"/>
    <col min="2826" max="2826" width="15.85546875" style="12" hidden="1"/>
    <col min="2827" max="2827" width="13.42578125" style="12" hidden="1"/>
    <col min="2828" max="2828" width="12.85546875" style="12" hidden="1"/>
    <col min="2829" max="2829" width="13.42578125" style="12" hidden="1"/>
    <col min="2830" max="2830" width="16" style="12" hidden="1"/>
    <col min="2831" max="2831" width="12.28515625" style="12" hidden="1"/>
    <col min="2832" max="2832" width="17.28515625" style="12" hidden="1"/>
    <col min="2833" max="2833" width="16.28515625" style="12" hidden="1"/>
    <col min="2834" max="2834" width="22.5703125" style="12" hidden="1"/>
    <col min="2835" max="2835" width="21.140625" style="12" hidden="1"/>
    <col min="2836" max="2836" width="23.42578125" style="12" hidden="1"/>
    <col min="2837" max="3058" width="10.85546875" style="12" hidden="1"/>
    <col min="3059" max="3059" width="19.7109375" style="12" hidden="1"/>
    <col min="3060" max="3060" width="19.42578125" style="12" hidden="1"/>
    <col min="3061" max="3061" width="10.42578125" style="12" hidden="1"/>
    <col min="3062" max="3062" width="16.42578125" style="12" hidden="1"/>
    <col min="3063" max="3063" width="27.28515625" style="12" hidden="1"/>
    <col min="3064" max="3064" width="10.140625" style="12" hidden="1"/>
    <col min="3065" max="3065" width="18.140625" style="12" hidden="1"/>
    <col min="3066" max="3066" width="21" style="12" hidden="1"/>
    <col min="3067" max="3067" width="23.7109375" style="12" hidden="1"/>
    <col min="3068" max="3068" width="10.7109375" style="12" hidden="1"/>
    <col min="3069" max="3069" width="25.42578125" style="12" hidden="1"/>
    <col min="3070" max="3070" width="12.42578125" style="12" hidden="1"/>
    <col min="3071" max="3071" width="13.42578125" style="12" hidden="1"/>
    <col min="3072" max="3072" width="10.28515625" style="12" hidden="1"/>
    <col min="3073" max="3081" width="15.42578125" style="12" hidden="1"/>
    <col min="3082" max="3082" width="15.85546875" style="12" hidden="1"/>
    <col min="3083" max="3083" width="13.42578125" style="12" hidden="1"/>
    <col min="3084" max="3084" width="12.85546875" style="12" hidden="1"/>
    <col min="3085" max="3085" width="13.42578125" style="12" hidden="1"/>
    <col min="3086" max="3086" width="16" style="12" hidden="1"/>
    <col min="3087" max="3087" width="12.28515625" style="12" hidden="1"/>
    <col min="3088" max="3088" width="17.28515625" style="12" hidden="1"/>
    <col min="3089" max="3089" width="16.28515625" style="12" hidden="1"/>
    <col min="3090" max="3090" width="22.5703125" style="12" hidden="1"/>
    <col min="3091" max="3091" width="21.140625" style="12" hidden="1"/>
    <col min="3092" max="3092" width="23.42578125" style="12" hidden="1"/>
    <col min="3093" max="3314" width="10.85546875" style="12" hidden="1"/>
    <col min="3315" max="3315" width="19.7109375" style="12" hidden="1"/>
    <col min="3316" max="3316" width="19.42578125" style="12" hidden="1"/>
    <col min="3317" max="3317" width="10.42578125" style="12" hidden="1"/>
    <col min="3318" max="3318" width="16.42578125" style="12" hidden="1"/>
    <col min="3319" max="3319" width="27.28515625" style="12" hidden="1"/>
    <col min="3320" max="3320" width="10.140625" style="12" hidden="1"/>
    <col min="3321" max="3321" width="18.140625" style="12" hidden="1"/>
    <col min="3322" max="3322" width="21" style="12" hidden="1"/>
    <col min="3323" max="3323" width="23.7109375" style="12" hidden="1"/>
    <col min="3324" max="3324" width="10.7109375" style="12" hidden="1"/>
    <col min="3325" max="3325" width="25.42578125" style="12" hidden="1"/>
    <col min="3326" max="3326" width="12.42578125" style="12" hidden="1"/>
    <col min="3327" max="3327" width="13.42578125" style="12" hidden="1"/>
    <col min="3328" max="3328" width="10.28515625" style="12" hidden="1"/>
    <col min="3329" max="3337" width="15.42578125" style="12" hidden="1"/>
    <col min="3338" max="3338" width="15.85546875" style="12" hidden="1"/>
    <col min="3339" max="3339" width="13.42578125" style="12" hidden="1"/>
    <col min="3340" max="3340" width="12.85546875" style="12" hidden="1"/>
    <col min="3341" max="3341" width="13.42578125" style="12" hidden="1"/>
    <col min="3342" max="3342" width="16" style="12" hidden="1"/>
    <col min="3343" max="3343" width="12.28515625" style="12" hidden="1"/>
    <col min="3344" max="3344" width="17.28515625" style="12" hidden="1"/>
    <col min="3345" max="3345" width="16.28515625" style="12" hidden="1"/>
    <col min="3346" max="3346" width="22.5703125" style="12" hidden="1"/>
    <col min="3347" max="3347" width="21.140625" style="12" hidden="1"/>
    <col min="3348" max="3348" width="23.42578125" style="12" hidden="1"/>
    <col min="3349" max="3570" width="10.85546875" style="12" hidden="1"/>
    <col min="3571" max="3571" width="19.7109375" style="12" hidden="1"/>
    <col min="3572" max="3572" width="19.42578125" style="12" hidden="1"/>
    <col min="3573" max="3573" width="10.42578125" style="12" hidden="1"/>
    <col min="3574" max="3574" width="16.42578125" style="12" hidden="1"/>
    <col min="3575" max="3575" width="27.28515625" style="12" hidden="1"/>
    <col min="3576" max="3576" width="10.140625" style="12" hidden="1"/>
    <col min="3577" max="3577" width="18.140625" style="12" hidden="1"/>
    <col min="3578" max="3578" width="21" style="12" hidden="1"/>
    <col min="3579" max="3579" width="23.7109375" style="12" hidden="1"/>
    <col min="3580" max="3580" width="10.7109375" style="12" hidden="1"/>
    <col min="3581" max="3581" width="25.42578125" style="12" hidden="1"/>
    <col min="3582" max="3582" width="12.42578125" style="12" hidden="1"/>
    <col min="3583" max="3583" width="13.42578125" style="12" hidden="1"/>
    <col min="3584" max="3584" width="10.28515625" style="12" hidden="1"/>
    <col min="3585" max="3593" width="15.42578125" style="12" hidden="1"/>
    <col min="3594" max="3594" width="15.85546875" style="12" hidden="1"/>
    <col min="3595" max="3595" width="13.42578125" style="12" hidden="1"/>
    <col min="3596" max="3596" width="12.85546875" style="12" hidden="1"/>
    <col min="3597" max="3597" width="13.42578125" style="12" hidden="1"/>
    <col min="3598" max="3598" width="16" style="12" hidden="1"/>
    <col min="3599" max="3599" width="12.28515625" style="12" hidden="1"/>
    <col min="3600" max="3600" width="17.28515625" style="12" hidden="1"/>
    <col min="3601" max="3601" width="16.28515625" style="12" hidden="1"/>
    <col min="3602" max="3602" width="22.5703125" style="12" hidden="1"/>
    <col min="3603" max="3603" width="21.140625" style="12" hidden="1"/>
    <col min="3604" max="3604" width="23.42578125" style="12" hidden="1"/>
    <col min="3605" max="3826" width="10.85546875" style="12" hidden="1"/>
    <col min="3827" max="3827" width="19.7109375" style="12" hidden="1"/>
    <col min="3828" max="3828" width="19.42578125" style="12" hidden="1"/>
    <col min="3829" max="3829" width="10.42578125" style="12" hidden="1"/>
    <col min="3830" max="3830" width="16.42578125" style="12" hidden="1"/>
    <col min="3831" max="3831" width="27.28515625" style="12" hidden="1"/>
    <col min="3832" max="3832" width="10.140625" style="12" hidden="1"/>
    <col min="3833" max="3833" width="18.140625" style="12" hidden="1"/>
    <col min="3834" max="3834" width="21" style="12" hidden="1"/>
    <col min="3835" max="3835" width="23.7109375" style="12" hidden="1"/>
    <col min="3836" max="3836" width="10.7109375" style="12" hidden="1"/>
    <col min="3837" max="3837" width="25.42578125" style="12" hidden="1"/>
    <col min="3838" max="3838" width="12.42578125" style="12" hidden="1"/>
    <col min="3839" max="3839" width="13.42578125" style="12" hidden="1"/>
    <col min="3840" max="3840" width="10.28515625" style="12" hidden="1"/>
    <col min="3841" max="3849" width="15.42578125" style="12" hidden="1"/>
    <col min="3850" max="3850" width="15.85546875" style="12" hidden="1"/>
    <col min="3851" max="3851" width="13.42578125" style="12" hidden="1"/>
    <col min="3852" max="3852" width="12.85546875" style="12" hidden="1"/>
    <col min="3853" max="3853" width="13.42578125" style="12" hidden="1"/>
    <col min="3854" max="3854" width="16" style="12" hidden="1"/>
    <col min="3855" max="3855" width="12.28515625" style="12" hidden="1"/>
    <col min="3856" max="3856" width="17.28515625" style="12" hidden="1"/>
    <col min="3857" max="3857" width="16.28515625" style="12" hidden="1"/>
    <col min="3858" max="3858" width="22.5703125" style="12" hidden="1"/>
    <col min="3859" max="3859" width="21.140625" style="12" hidden="1"/>
    <col min="3860" max="3860" width="23.42578125" style="12" hidden="1"/>
    <col min="3861" max="4082" width="10.85546875" style="12" hidden="1"/>
    <col min="4083" max="4083" width="19.7109375" style="12" hidden="1"/>
    <col min="4084" max="4084" width="19.42578125" style="12" hidden="1"/>
    <col min="4085" max="4085" width="10.42578125" style="12" hidden="1"/>
    <col min="4086" max="4086" width="16.42578125" style="12" hidden="1"/>
    <col min="4087" max="4087" width="27.28515625" style="12" hidden="1"/>
    <col min="4088" max="4088" width="10.140625" style="12" hidden="1"/>
    <col min="4089" max="4089" width="18.140625" style="12" hidden="1"/>
    <col min="4090" max="4090" width="21" style="12" hidden="1"/>
    <col min="4091" max="4091" width="23.7109375" style="12" hidden="1"/>
    <col min="4092" max="4092" width="10.7109375" style="12" hidden="1"/>
    <col min="4093" max="4093" width="25.42578125" style="12" hidden="1"/>
    <col min="4094" max="4094" width="12.42578125" style="12" hidden="1"/>
    <col min="4095" max="4095" width="13.42578125" style="12" hidden="1"/>
    <col min="4096" max="4096" width="10.28515625" style="12" hidden="1"/>
    <col min="4097" max="4105" width="15.42578125" style="12" hidden="1"/>
    <col min="4106" max="4106" width="15.85546875" style="12" hidden="1"/>
    <col min="4107" max="4107" width="13.42578125" style="12" hidden="1"/>
    <col min="4108" max="4108" width="12.85546875" style="12" hidden="1"/>
    <col min="4109" max="4109" width="13.42578125" style="12" hidden="1"/>
    <col min="4110" max="4110" width="16" style="12" hidden="1"/>
    <col min="4111" max="4111" width="12.28515625" style="12" hidden="1"/>
    <col min="4112" max="4112" width="17.28515625" style="12" hidden="1"/>
    <col min="4113" max="4113" width="16.28515625" style="12" hidden="1"/>
    <col min="4114" max="4114" width="22.5703125" style="12" hidden="1"/>
    <col min="4115" max="4115" width="21.140625" style="12" hidden="1"/>
    <col min="4116" max="4116" width="23.42578125" style="12" hidden="1"/>
    <col min="4117" max="4338" width="10.85546875" style="12" hidden="1"/>
    <col min="4339" max="4339" width="19.7109375" style="12" hidden="1"/>
    <col min="4340" max="4340" width="19.42578125" style="12" hidden="1"/>
    <col min="4341" max="4341" width="10.42578125" style="12" hidden="1"/>
    <col min="4342" max="4342" width="16.42578125" style="12" hidden="1"/>
    <col min="4343" max="4343" width="27.28515625" style="12" hidden="1"/>
    <col min="4344" max="4344" width="10.140625" style="12" hidden="1"/>
    <col min="4345" max="4345" width="18.140625" style="12" hidden="1"/>
    <col min="4346" max="4346" width="21" style="12" hidden="1"/>
    <col min="4347" max="4347" width="23.7109375" style="12" hidden="1"/>
    <col min="4348" max="4348" width="10.7109375" style="12" hidden="1"/>
    <col min="4349" max="4349" width="25.42578125" style="12" hidden="1"/>
    <col min="4350" max="4350" width="12.42578125" style="12" hidden="1"/>
    <col min="4351" max="4351" width="13.42578125" style="12" hidden="1"/>
    <col min="4352" max="4352" width="10.28515625" style="12" hidden="1"/>
    <col min="4353" max="4361" width="15.42578125" style="12" hidden="1"/>
    <col min="4362" max="4362" width="15.85546875" style="12" hidden="1"/>
    <col min="4363" max="4363" width="13.42578125" style="12" hidden="1"/>
    <col min="4364" max="4364" width="12.85546875" style="12" hidden="1"/>
    <col min="4365" max="4365" width="13.42578125" style="12" hidden="1"/>
    <col min="4366" max="4366" width="16" style="12" hidden="1"/>
    <col min="4367" max="4367" width="12.28515625" style="12" hidden="1"/>
    <col min="4368" max="4368" width="17.28515625" style="12" hidden="1"/>
    <col min="4369" max="4369" width="16.28515625" style="12" hidden="1"/>
    <col min="4370" max="4370" width="22.5703125" style="12" hidden="1"/>
    <col min="4371" max="4371" width="21.140625" style="12" hidden="1"/>
    <col min="4372" max="4372" width="23.42578125" style="12" hidden="1"/>
    <col min="4373" max="4594" width="10.85546875" style="12" hidden="1"/>
    <col min="4595" max="4595" width="19.7109375" style="12" hidden="1"/>
    <col min="4596" max="4596" width="19.42578125" style="12" hidden="1"/>
    <col min="4597" max="4597" width="10.42578125" style="12" hidden="1"/>
    <col min="4598" max="4598" width="16.42578125" style="12" hidden="1"/>
    <col min="4599" max="4599" width="27.28515625" style="12" hidden="1"/>
    <col min="4600" max="4600" width="10.140625" style="12" hidden="1"/>
    <col min="4601" max="4601" width="18.140625" style="12" hidden="1"/>
    <col min="4602" max="4602" width="21" style="12" hidden="1"/>
    <col min="4603" max="4603" width="23.7109375" style="12" hidden="1"/>
    <col min="4604" max="4604" width="10.7109375" style="12" hidden="1"/>
    <col min="4605" max="4605" width="25.42578125" style="12" hidden="1"/>
    <col min="4606" max="4606" width="12.42578125" style="12" hidden="1"/>
    <col min="4607" max="4607" width="13.42578125" style="12" hidden="1"/>
    <col min="4608" max="4608" width="10.28515625" style="12" hidden="1"/>
    <col min="4609" max="4617" width="15.42578125" style="12" hidden="1"/>
    <col min="4618" max="4618" width="15.85546875" style="12" hidden="1"/>
    <col min="4619" max="4619" width="13.42578125" style="12" hidden="1"/>
    <col min="4620" max="4620" width="12.85546875" style="12" hidden="1"/>
    <col min="4621" max="4621" width="13.42578125" style="12" hidden="1"/>
    <col min="4622" max="4622" width="16" style="12" hidden="1"/>
    <col min="4623" max="4623" width="12.28515625" style="12" hidden="1"/>
    <col min="4624" max="4624" width="17.28515625" style="12" hidden="1"/>
    <col min="4625" max="4625" width="16.28515625" style="12" hidden="1"/>
    <col min="4626" max="4626" width="22.5703125" style="12" hidden="1"/>
    <col min="4627" max="4627" width="21.140625" style="12" hidden="1"/>
    <col min="4628" max="4628" width="23.42578125" style="12" hidden="1"/>
    <col min="4629" max="4850" width="10.85546875" style="12" hidden="1"/>
    <col min="4851" max="4851" width="19.7109375" style="12" hidden="1"/>
    <col min="4852" max="4852" width="19.42578125" style="12" hidden="1"/>
    <col min="4853" max="4853" width="10.42578125" style="12" hidden="1"/>
    <col min="4854" max="4854" width="16.42578125" style="12" hidden="1"/>
    <col min="4855" max="4855" width="27.28515625" style="12" hidden="1"/>
    <col min="4856" max="4856" width="10.140625" style="12" hidden="1"/>
    <col min="4857" max="4857" width="18.140625" style="12" hidden="1"/>
    <col min="4858" max="4858" width="21" style="12" hidden="1"/>
    <col min="4859" max="4859" width="23.7109375" style="12" hidden="1"/>
    <col min="4860" max="4860" width="10.7109375" style="12" hidden="1"/>
    <col min="4861" max="4861" width="25.42578125" style="12" hidden="1"/>
    <col min="4862" max="4862" width="12.42578125" style="12" hidden="1"/>
    <col min="4863" max="4863" width="13.42578125" style="12" hidden="1"/>
    <col min="4864" max="4864" width="10.28515625" style="12" hidden="1"/>
    <col min="4865" max="4873" width="15.42578125" style="12" hidden="1"/>
    <col min="4874" max="4874" width="15.85546875" style="12" hidden="1"/>
    <col min="4875" max="4875" width="13.42578125" style="12" hidden="1"/>
    <col min="4876" max="4876" width="12.85546875" style="12" hidden="1"/>
    <col min="4877" max="4877" width="13.42578125" style="12" hidden="1"/>
    <col min="4878" max="4878" width="16" style="12" hidden="1"/>
    <col min="4879" max="4879" width="12.28515625" style="12" hidden="1"/>
    <col min="4880" max="4880" width="17.28515625" style="12" hidden="1"/>
    <col min="4881" max="4881" width="16.28515625" style="12" hidden="1"/>
    <col min="4882" max="4882" width="22.5703125" style="12" hidden="1"/>
    <col min="4883" max="4883" width="21.140625" style="12" hidden="1"/>
    <col min="4884" max="4884" width="23.42578125" style="12" hidden="1"/>
    <col min="4885" max="5106" width="10.85546875" style="12" hidden="1"/>
    <col min="5107" max="5107" width="19.7109375" style="12" hidden="1"/>
    <col min="5108" max="5108" width="19.42578125" style="12" hidden="1"/>
    <col min="5109" max="5109" width="10.42578125" style="12" hidden="1"/>
    <col min="5110" max="5110" width="16.42578125" style="12" hidden="1"/>
    <col min="5111" max="5111" width="27.28515625" style="12" hidden="1"/>
    <col min="5112" max="5112" width="10.140625" style="12" hidden="1"/>
    <col min="5113" max="5113" width="18.140625" style="12" hidden="1"/>
    <col min="5114" max="5114" width="21" style="12" hidden="1"/>
    <col min="5115" max="5115" width="23.7109375" style="12" hidden="1"/>
    <col min="5116" max="5116" width="10.7109375" style="12" hidden="1"/>
    <col min="5117" max="5117" width="25.42578125" style="12" hidden="1"/>
    <col min="5118" max="5118" width="12.42578125" style="12" hidden="1"/>
    <col min="5119" max="5119" width="13.42578125" style="12" hidden="1"/>
    <col min="5120" max="5120" width="10.28515625" style="12" hidden="1"/>
    <col min="5121" max="5129" width="15.42578125" style="12" hidden="1"/>
    <col min="5130" max="5130" width="15.85546875" style="12" hidden="1"/>
    <col min="5131" max="5131" width="13.42578125" style="12" hidden="1"/>
    <col min="5132" max="5132" width="12.85546875" style="12" hidden="1"/>
    <col min="5133" max="5133" width="13.42578125" style="12" hidden="1"/>
    <col min="5134" max="5134" width="16" style="12" hidden="1"/>
    <col min="5135" max="5135" width="12.28515625" style="12" hidden="1"/>
    <col min="5136" max="5136" width="17.28515625" style="12" hidden="1"/>
    <col min="5137" max="5137" width="16.28515625" style="12" hidden="1"/>
    <col min="5138" max="5138" width="22.5703125" style="12" hidden="1"/>
    <col min="5139" max="5139" width="21.140625" style="12" hidden="1"/>
    <col min="5140" max="5140" width="23.42578125" style="12" hidden="1"/>
    <col min="5141" max="5362" width="10.85546875" style="12" hidden="1"/>
    <col min="5363" max="5363" width="19.7109375" style="12" hidden="1"/>
    <col min="5364" max="5364" width="19.42578125" style="12" hidden="1"/>
    <col min="5365" max="5365" width="10.42578125" style="12" hidden="1"/>
    <col min="5366" max="5366" width="16.42578125" style="12" hidden="1"/>
    <col min="5367" max="5367" width="27.28515625" style="12" hidden="1"/>
    <col min="5368" max="5368" width="10.140625" style="12" hidden="1"/>
    <col min="5369" max="5369" width="18.140625" style="12" hidden="1"/>
    <col min="5370" max="5370" width="21" style="12" hidden="1"/>
    <col min="5371" max="5371" width="23.7109375" style="12" hidden="1"/>
    <col min="5372" max="5372" width="10.7109375" style="12" hidden="1"/>
    <col min="5373" max="5373" width="25.42578125" style="12" hidden="1"/>
    <col min="5374" max="5374" width="12.42578125" style="12" hidden="1"/>
    <col min="5375" max="5375" width="13.42578125" style="12" hidden="1"/>
    <col min="5376" max="5376" width="10.28515625" style="12" hidden="1"/>
    <col min="5377" max="5385" width="15.42578125" style="12" hidden="1"/>
    <col min="5386" max="5386" width="15.85546875" style="12" hidden="1"/>
    <col min="5387" max="5387" width="13.42578125" style="12" hidden="1"/>
    <col min="5388" max="5388" width="12.85546875" style="12" hidden="1"/>
    <col min="5389" max="5389" width="13.42578125" style="12" hidden="1"/>
    <col min="5390" max="5390" width="16" style="12" hidden="1"/>
    <col min="5391" max="5391" width="12.28515625" style="12" hidden="1"/>
    <col min="5392" max="5392" width="17.28515625" style="12" hidden="1"/>
    <col min="5393" max="5393" width="16.28515625" style="12" hidden="1"/>
    <col min="5394" max="5394" width="22.5703125" style="12" hidden="1"/>
    <col min="5395" max="5395" width="21.140625" style="12" hidden="1"/>
    <col min="5396" max="5396" width="23.42578125" style="12" hidden="1"/>
    <col min="5397" max="5618" width="10.85546875" style="12" hidden="1"/>
    <col min="5619" max="5619" width="19.7109375" style="12" hidden="1"/>
    <col min="5620" max="5620" width="19.42578125" style="12" hidden="1"/>
    <col min="5621" max="5621" width="10.42578125" style="12" hidden="1"/>
    <col min="5622" max="5622" width="16.42578125" style="12" hidden="1"/>
    <col min="5623" max="5623" width="27.28515625" style="12" hidden="1"/>
    <col min="5624" max="5624" width="10.140625" style="12" hidden="1"/>
    <col min="5625" max="5625" width="18.140625" style="12" hidden="1"/>
    <col min="5626" max="5626" width="21" style="12" hidden="1"/>
    <col min="5627" max="5627" width="23.7109375" style="12" hidden="1"/>
    <col min="5628" max="5628" width="10.7109375" style="12" hidden="1"/>
    <col min="5629" max="5629" width="25.42578125" style="12" hidden="1"/>
    <col min="5630" max="5630" width="12.42578125" style="12" hidden="1"/>
    <col min="5631" max="5631" width="13.42578125" style="12" hidden="1"/>
    <col min="5632" max="5632" width="10.28515625" style="12" hidden="1"/>
    <col min="5633" max="5641" width="15.42578125" style="12" hidden="1"/>
    <col min="5642" max="5642" width="15.85546875" style="12" hidden="1"/>
    <col min="5643" max="5643" width="13.42578125" style="12" hidden="1"/>
    <col min="5644" max="5644" width="12.85546875" style="12" hidden="1"/>
    <col min="5645" max="5645" width="13.42578125" style="12" hidden="1"/>
    <col min="5646" max="5646" width="16" style="12" hidden="1"/>
    <col min="5647" max="5647" width="12.28515625" style="12" hidden="1"/>
    <col min="5648" max="5648" width="17.28515625" style="12" hidden="1"/>
    <col min="5649" max="5649" width="16.28515625" style="12" hidden="1"/>
    <col min="5650" max="5650" width="22.5703125" style="12" hidden="1"/>
    <col min="5651" max="5651" width="21.140625" style="12" hidden="1"/>
    <col min="5652" max="5652" width="23.42578125" style="12" hidden="1"/>
    <col min="5653" max="5874" width="10.85546875" style="12" hidden="1"/>
    <col min="5875" max="5875" width="19.7109375" style="12" hidden="1"/>
    <col min="5876" max="5876" width="19.42578125" style="12" hidden="1"/>
    <col min="5877" max="5877" width="10.42578125" style="12" hidden="1"/>
    <col min="5878" max="5878" width="16.42578125" style="12" hidden="1"/>
    <col min="5879" max="5879" width="27.28515625" style="12" hidden="1"/>
    <col min="5880" max="5880" width="10.140625" style="12" hidden="1"/>
    <col min="5881" max="5881" width="18.140625" style="12" hidden="1"/>
    <col min="5882" max="5882" width="21" style="12" hidden="1"/>
    <col min="5883" max="5883" width="23.7109375" style="12" hidden="1"/>
    <col min="5884" max="5884" width="10.7109375" style="12" hidden="1"/>
    <col min="5885" max="5885" width="25.42578125" style="12" hidden="1"/>
    <col min="5886" max="5886" width="12.42578125" style="12" hidden="1"/>
    <col min="5887" max="5887" width="13.42578125" style="12" hidden="1"/>
    <col min="5888" max="5888" width="10.28515625" style="12" hidden="1"/>
    <col min="5889" max="5897" width="15.42578125" style="12" hidden="1"/>
    <col min="5898" max="5898" width="15.85546875" style="12" hidden="1"/>
    <col min="5899" max="5899" width="13.42578125" style="12" hidden="1"/>
    <col min="5900" max="5900" width="12.85546875" style="12" hidden="1"/>
    <col min="5901" max="5901" width="13.42578125" style="12" hidden="1"/>
    <col min="5902" max="5902" width="16" style="12" hidden="1"/>
    <col min="5903" max="5903" width="12.28515625" style="12" hidden="1"/>
    <col min="5904" max="5904" width="17.28515625" style="12" hidden="1"/>
    <col min="5905" max="5905" width="16.28515625" style="12" hidden="1"/>
    <col min="5906" max="5906" width="22.5703125" style="12" hidden="1"/>
    <col min="5907" max="5907" width="21.140625" style="12" hidden="1"/>
    <col min="5908" max="5908" width="23.42578125" style="12" hidden="1"/>
    <col min="5909" max="6130" width="10.85546875" style="12" hidden="1"/>
    <col min="6131" max="6131" width="19.7109375" style="12" hidden="1"/>
    <col min="6132" max="6132" width="19.42578125" style="12" hidden="1"/>
    <col min="6133" max="6133" width="10.42578125" style="12" hidden="1"/>
    <col min="6134" max="6134" width="16.42578125" style="12" hidden="1"/>
    <col min="6135" max="6135" width="27.28515625" style="12" hidden="1"/>
    <col min="6136" max="6136" width="10.140625" style="12" hidden="1"/>
    <col min="6137" max="6137" width="18.140625" style="12" hidden="1"/>
    <col min="6138" max="6138" width="21" style="12" hidden="1"/>
    <col min="6139" max="6139" width="23.7109375" style="12" hidden="1"/>
    <col min="6140" max="6140" width="10.7109375" style="12" hidden="1"/>
    <col min="6141" max="6141" width="25.42578125" style="12" hidden="1"/>
    <col min="6142" max="6142" width="12.42578125" style="12" hidden="1"/>
    <col min="6143" max="6143" width="13.42578125" style="12" hidden="1"/>
    <col min="6144" max="6144" width="10.28515625" style="12" hidden="1"/>
    <col min="6145" max="6153" width="15.42578125" style="12" hidden="1"/>
    <col min="6154" max="6154" width="15.85546875" style="12" hidden="1"/>
    <col min="6155" max="6155" width="13.42578125" style="12" hidden="1"/>
    <col min="6156" max="6156" width="12.85546875" style="12" hidden="1"/>
    <col min="6157" max="6157" width="13.42578125" style="12" hidden="1"/>
    <col min="6158" max="6158" width="16" style="12" hidden="1"/>
    <col min="6159" max="6159" width="12.28515625" style="12" hidden="1"/>
    <col min="6160" max="6160" width="17.28515625" style="12" hidden="1"/>
    <col min="6161" max="6161" width="16.28515625" style="12" hidden="1"/>
    <col min="6162" max="6162" width="22.5703125" style="12" hidden="1"/>
    <col min="6163" max="6163" width="21.140625" style="12" hidden="1"/>
    <col min="6164" max="6164" width="23.42578125" style="12" hidden="1"/>
    <col min="6165" max="6386" width="10.85546875" style="12" hidden="1"/>
    <col min="6387" max="6387" width="19.7109375" style="12" hidden="1"/>
    <col min="6388" max="6388" width="19.42578125" style="12" hidden="1"/>
    <col min="6389" max="6389" width="10.42578125" style="12" hidden="1"/>
    <col min="6390" max="6390" width="16.42578125" style="12" hidden="1"/>
    <col min="6391" max="6391" width="27.28515625" style="12" hidden="1"/>
    <col min="6392" max="6392" width="10.140625" style="12" hidden="1"/>
    <col min="6393" max="6393" width="18.140625" style="12" hidden="1"/>
    <col min="6394" max="6394" width="21" style="12" hidden="1"/>
    <col min="6395" max="6395" width="23.7109375" style="12" hidden="1"/>
    <col min="6396" max="6396" width="10.7109375" style="12" hidden="1"/>
    <col min="6397" max="6397" width="25.42578125" style="12" hidden="1"/>
    <col min="6398" max="6398" width="12.42578125" style="12" hidden="1"/>
    <col min="6399" max="6399" width="13.42578125" style="12" hidden="1"/>
    <col min="6400" max="6400" width="10.28515625" style="12" hidden="1"/>
    <col min="6401" max="6409" width="15.42578125" style="12" hidden="1"/>
    <col min="6410" max="6410" width="15.85546875" style="12" hidden="1"/>
    <col min="6411" max="6411" width="13.42578125" style="12" hidden="1"/>
    <col min="6412" max="6412" width="12.85546875" style="12" hidden="1"/>
    <col min="6413" max="6413" width="13.42578125" style="12" hidden="1"/>
    <col min="6414" max="6414" width="16" style="12" hidden="1"/>
    <col min="6415" max="6415" width="12.28515625" style="12" hidden="1"/>
    <col min="6416" max="6416" width="17.28515625" style="12" hidden="1"/>
    <col min="6417" max="6417" width="16.28515625" style="12" hidden="1"/>
    <col min="6418" max="6418" width="22.5703125" style="12" hidden="1"/>
    <col min="6419" max="6419" width="21.140625" style="12" hidden="1"/>
    <col min="6420" max="6420" width="23.42578125" style="12" hidden="1"/>
    <col min="6421" max="6642" width="10.85546875" style="12" hidden="1"/>
    <col min="6643" max="6643" width="19.7109375" style="12" hidden="1"/>
    <col min="6644" max="6644" width="19.42578125" style="12" hidden="1"/>
    <col min="6645" max="6645" width="10.42578125" style="12" hidden="1"/>
    <col min="6646" max="6646" width="16.42578125" style="12" hidden="1"/>
    <col min="6647" max="6647" width="27.28515625" style="12" hidden="1"/>
    <col min="6648" max="6648" width="10.140625" style="12" hidden="1"/>
    <col min="6649" max="6649" width="18.140625" style="12" hidden="1"/>
    <col min="6650" max="6650" width="21" style="12" hidden="1"/>
    <col min="6651" max="6651" width="23.7109375" style="12" hidden="1"/>
    <col min="6652" max="6652" width="10.7109375" style="12" hidden="1"/>
    <col min="6653" max="6653" width="25.42578125" style="12" hidden="1"/>
    <col min="6654" max="6654" width="12.42578125" style="12" hidden="1"/>
    <col min="6655" max="6655" width="13.42578125" style="12" hidden="1"/>
    <col min="6656" max="6656" width="10.28515625" style="12" hidden="1"/>
    <col min="6657" max="6665" width="15.42578125" style="12" hidden="1"/>
    <col min="6666" max="6666" width="15.85546875" style="12" hidden="1"/>
    <col min="6667" max="6667" width="13.42578125" style="12" hidden="1"/>
    <col min="6668" max="6668" width="12.85546875" style="12" hidden="1"/>
    <col min="6669" max="6669" width="13.42578125" style="12" hidden="1"/>
    <col min="6670" max="6670" width="16" style="12" hidden="1"/>
    <col min="6671" max="6671" width="12.28515625" style="12" hidden="1"/>
    <col min="6672" max="6672" width="17.28515625" style="12" hidden="1"/>
    <col min="6673" max="6673" width="16.28515625" style="12" hidden="1"/>
    <col min="6674" max="6674" width="22.5703125" style="12" hidden="1"/>
    <col min="6675" max="6675" width="21.140625" style="12" hidden="1"/>
    <col min="6676" max="6676" width="23.42578125" style="12" hidden="1"/>
    <col min="6677" max="6898" width="10.85546875" style="12" hidden="1"/>
    <col min="6899" max="6899" width="19.7109375" style="12" hidden="1"/>
    <col min="6900" max="6900" width="19.42578125" style="12" hidden="1"/>
    <col min="6901" max="6901" width="10.42578125" style="12" hidden="1"/>
    <col min="6902" max="6902" width="16.42578125" style="12" hidden="1"/>
    <col min="6903" max="6903" width="27.28515625" style="12" hidden="1"/>
    <col min="6904" max="6904" width="10.140625" style="12" hidden="1"/>
    <col min="6905" max="6905" width="18.140625" style="12" hidden="1"/>
    <col min="6906" max="6906" width="21" style="12" hidden="1"/>
    <col min="6907" max="6907" width="23.7109375" style="12" hidden="1"/>
    <col min="6908" max="6908" width="10.7109375" style="12" hidden="1"/>
    <col min="6909" max="6909" width="25.42578125" style="12" hidden="1"/>
    <col min="6910" max="6910" width="12.42578125" style="12" hidden="1"/>
    <col min="6911" max="6911" width="13.42578125" style="12" hidden="1"/>
    <col min="6912" max="6912" width="10.28515625" style="12" hidden="1"/>
    <col min="6913" max="6921" width="15.42578125" style="12" hidden="1"/>
    <col min="6922" max="6922" width="15.85546875" style="12" hidden="1"/>
    <col min="6923" max="6923" width="13.42578125" style="12" hidden="1"/>
    <col min="6924" max="6924" width="12.85546875" style="12" hidden="1"/>
    <col min="6925" max="6925" width="13.42578125" style="12" hidden="1"/>
    <col min="6926" max="6926" width="16" style="12" hidden="1"/>
    <col min="6927" max="6927" width="12.28515625" style="12" hidden="1"/>
    <col min="6928" max="6928" width="17.28515625" style="12" hidden="1"/>
    <col min="6929" max="6929" width="16.28515625" style="12" hidden="1"/>
    <col min="6930" max="6930" width="22.5703125" style="12" hidden="1"/>
    <col min="6931" max="6931" width="21.140625" style="12" hidden="1"/>
    <col min="6932" max="6932" width="23.42578125" style="12" hidden="1"/>
    <col min="6933" max="7154" width="10.85546875" style="12" hidden="1"/>
    <col min="7155" max="7155" width="19.7109375" style="12" hidden="1"/>
    <col min="7156" max="7156" width="19.42578125" style="12" hidden="1"/>
    <col min="7157" max="7157" width="10.42578125" style="12" hidden="1"/>
    <col min="7158" max="7158" width="16.42578125" style="12" hidden="1"/>
    <col min="7159" max="7159" width="27.28515625" style="12" hidden="1"/>
    <col min="7160" max="7160" width="10.140625" style="12" hidden="1"/>
    <col min="7161" max="7161" width="18.140625" style="12" hidden="1"/>
    <col min="7162" max="7162" width="21" style="12" hidden="1"/>
    <col min="7163" max="7163" width="23.7109375" style="12" hidden="1"/>
    <col min="7164" max="7164" width="10.7109375" style="12" hidden="1"/>
    <col min="7165" max="7165" width="25.42578125" style="12" hidden="1"/>
    <col min="7166" max="7166" width="12.42578125" style="12" hidden="1"/>
    <col min="7167" max="7167" width="13.42578125" style="12" hidden="1"/>
    <col min="7168" max="7168" width="10.28515625" style="12" hidden="1"/>
    <col min="7169" max="7177" width="15.42578125" style="12" hidden="1"/>
    <col min="7178" max="7178" width="15.85546875" style="12" hidden="1"/>
    <col min="7179" max="7179" width="13.42578125" style="12" hidden="1"/>
    <col min="7180" max="7180" width="12.85546875" style="12" hidden="1"/>
    <col min="7181" max="7181" width="13.42578125" style="12" hidden="1"/>
    <col min="7182" max="7182" width="16" style="12" hidden="1"/>
    <col min="7183" max="7183" width="12.28515625" style="12" hidden="1"/>
    <col min="7184" max="7184" width="17.28515625" style="12" hidden="1"/>
    <col min="7185" max="7185" width="16.28515625" style="12" hidden="1"/>
    <col min="7186" max="7186" width="22.5703125" style="12" hidden="1"/>
    <col min="7187" max="7187" width="21.140625" style="12" hidden="1"/>
    <col min="7188" max="7188" width="23.42578125" style="12" hidden="1"/>
    <col min="7189" max="7410" width="10.85546875" style="12" hidden="1"/>
    <col min="7411" max="7411" width="19.7109375" style="12" hidden="1"/>
    <col min="7412" max="7412" width="19.42578125" style="12" hidden="1"/>
    <col min="7413" max="7413" width="10.42578125" style="12" hidden="1"/>
    <col min="7414" max="7414" width="16.42578125" style="12" hidden="1"/>
    <col min="7415" max="7415" width="27.28515625" style="12" hidden="1"/>
    <col min="7416" max="7416" width="10.140625" style="12" hidden="1"/>
    <col min="7417" max="7417" width="18.140625" style="12" hidden="1"/>
    <col min="7418" max="7418" width="21" style="12" hidden="1"/>
    <col min="7419" max="7419" width="23.7109375" style="12" hidden="1"/>
    <col min="7420" max="7420" width="10.7109375" style="12" hidden="1"/>
    <col min="7421" max="7421" width="25.42578125" style="12" hidden="1"/>
    <col min="7422" max="7422" width="12.42578125" style="12" hidden="1"/>
    <col min="7423" max="7423" width="13.42578125" style="12" hidden="1"/>
    <col min="7424" max="7424" width="10.28515625" style="12" hidden="1"/>
    <col min="7425" max="7433" width="15.42578125" style="12" hidden="1"/>
    <col min="7434" max="7434" width="15.85546875" style="12" hidden="1"/>
    <col min="7435" max="7435" width="13.42578125" style="12" hidden="1"/>
    <col min="7436" max="7436" width="12.85546875" style="12" hidden="1"/>
    <col min="7437" max="7437" width="13.42578125" style="12" hidden="1"/>
    <col min="7438" max="7438" width="16" style="12" hidden="1"/>
    <col min="7439" max="7439" width="12.28515625" style="12" hidden="1"/>
    <col min="7440" max="7440" width="17.28515625" style="12" hidden="1"/>
    <col min="7441" max="7441" width="16.28515625" style="12" hidden="1"/>
    <col min="7442" max="7442" width="22.5703125" style="12" hidden="1"/>
    <col min="7443" max="7443" width="21.140625" style="12" hidden="1"/>
    <col min="7444" max="7444" width="23.42578125" style="12" hidden="1"/>
    <col min="7445" max="7666" width="10.85546875" style="12" hidden="1"/>
    <col min="7667" max="7667" width="19.7109375" style="12" hidden="1"/>
    <col min="7668" max="7668" width="19.42578125" style="12" hidden="1"/>
    <col min="7669" max="7669" width="10.42578125" style="12" hidden="1"/>
    <col min="7670" max="7670" width="16.42578125" style="12" hidden="1"/>
    <col min="7671" max="7671" width="27.28515625" style="12" hidden="1"/>
    <col min="7672" max="7672" width="10.140625" style="12" hidden="1"/>
    <col min="7673" max="7673" width="18.140625" style="12" hidden="1"/>
    <col min="7674" max="7674" width="21" style="12" hidden="1"/>
    <col min="7675" max="7675" width="23.7109375" style="12" hidden="1"/>
    <col min="7676" max="7676" width="10.7109375" style="12" hidden="1"/>
    <col min="7677" max="7677" width="25.42578125" style="12" hidden="1"/>
    <col min="7678" max="7678" width="12.42578125" style="12" hidden="1"/>
    <col min="7679" max="7679" width="13.42578125" style="12" hidden="1"/>
    <col min="7680" max="7680" width="10.28515625" style="12" hidden="1"/>
    <col min="7681" max="7689" width="15.42578125" style="12" hidden="1"/>
    <col min="7690" max="7690" width="15.85546875" style="12" hidden="1"/>
    <col min="7691" max="7691" width="13.42578125" style="12" hidden="1"/>
    <col min="7692" max="7692" width="12.85546875" style="12" hidden="1"/>
    <col min="7693" max="7693" width="13.42578125" style="12" hidden="1"/>
    <col min="7694" max="7694" width="16" style="12" hidden="1"/>
    <col min="7695" max="7695" width="12.28515625" style="12" hidden="1"/>
    <col min="7696" max="7696" width="17.28515625" style="12" hidden="1"/>
    <col min="7697" max="7697" width="16.28515625" style="12" hidden="1"/>
    <col min="7698" max="7698" width="22.5703125" style="12" hidden="1"/>
    <col min="7699" max="7699" width="21.140625" style="12" hidden="1"/>
    <col min="7700" max="7700" width="23.42578125" style="12" hidden="1"/>
    <col min="7701" max="7922" width="10.85546875" style="12" hidden="1"/>
    <col min="7923" max="7923" width="19.7109375" style="12" hidden="1"/>
    <col min="7924" max="7924" width="19.42578125" style="12" hidden="1"/>
    <col min="7925" max="7925" width="10.42578125" style="12" hidden="1"/>
    <col min="7926" max="7926" width="16.42578125" style="12" hidden="1"/>
    <col min="7927" max="7927" width="27.28515625" style="12" hidden="1"/>
    <col min="7928" max="7928" width="10.140625" style="12" hidden="1"/>
    <col min="7929" max="7929" width="18.140625" style="12" hidden="1"/>
    <col min="7930" max="7930" width="21" style="12" hidden="1"/>
    <col min="7931" max="7931" width="23.7109375" style="12" hidden="1"/>
    <col min="7932" max="7932" width="10.7109375" style="12" hidden="1"/>
    <col min="7933" max="7933" width="25.42578125" style="12" hidden="1"/>
    <col min="7934" max="7934" width="12.42578125" style="12" hidden="1"/>
    <col min="7935" max="7935" width="13.42578125" style="12" hidden="1"/>
    <col min="7936" max="7936" width="10.28515625" style="12" hidden="1"/>
    <col min="7937" max="7945" width="15.42578125" style="12" hidden="1"/>
    <col min="7946" max="7946" width="15.85546875" style="12" hidden="1"/>
    <col min="7947" max="7947" width="13.42578125" style="12" hidden="1"/>
    <col min="7948" max="7948" width="12.85546875" style="12" hidden="1"/>
    <col min="7949" max="7949" width="13.42578125" style="12" hidden="1"/>
    <col min="7950" max="7950" width="16" style="12" hidden="1"/>
    <col min="7951" max="7951" width="12.28515625" style="12" hidden="1"/>
    <col min="7952" max="7952" width="17.28515625" style="12" hidden="1"/>
    <col min="7953" max="7953" width="16.28515625" style="12" hidden="1"/>
    <col min="7954" max="7954" width="22.5703125" style="12" hidden="1"/>
    <col min="7955" max="7955" width="21.140625" style="12" hidden="1"/>
    <col min="7956" max="7956" width="23.42578125" style="12" hidden="1"/>
    <col min="7957" max="8178" width="10.85546875" style="12" hidden="1"/>
    <col min="8179" max="8179" width="19.7109375" style="12" hidden="1"/>
    <col min="8180" max="8180" width="19.42578125" style="12" hidden="1"/>
    <col min="8181" max="8181" width="10.42578125" style="12" hidden="1"/>
    <col min="8182" max="8182" width="16.42578125" style="12" hidden="1"/>
    <col min="8183" max="8183" width="27.28515625" style="12" hidden="1"/>
    <col min="8184" max="8184" width="10.140625" style="12" hidden="1"/>
    <col min="8185" max="8185" width="18.140625" style="12" hidden="1"/>
    <col min="8186" max="8186" width="21" style="12" hidden="1"/>
    <col min="8187" max="8187" width="23.7109375" style="12" hidden="1"/>
    <col min="8188" max="8188" width="10.7109375" style="12" hidden="1"/>
    <col min="8189" max="8189" width="25.42578125" style="12" hidden="1"/>
    <col min="8190" max="8190" width="12.42578125" style="12" hidden="1"/>
    <col min="8191" max="8191" width="13.42578125" style="12" hidden="1"/>
    <col min="8192" max="8192" width="10.28515625" style="12" hidden="1"/>
    <col min="8193" max="8201" width="15.42578125" style="12" hidden="1"/>
    <col min="8202" max="8202" width="15.85546875" style="12" hidden="1"/>
    <col min="8203" max="8203" width="13.42578125" style="12" hidden="1"/>
    <col min="8204" max="8204" width="12.85546875" style="12" hidden="1"/>
    <col min="8205" max="8205" width="13.42578125" style="12" hidden="1"/>
    <col min="8206" max="8206" width="16" style="12" hidden="1"/>
    <col min="8207" max="8207" width="12.28515625" style="12" hidden="1"/>
    <col min="8208" max="8208" width="17.28515625" style="12" hidden="1"/>
    <col min="8209" max="8209" width="16.28515625" style="12" hidden="1"/>
    <col min="8210" max="8210" width="22.5703125" style="12" hidden="1"/>
    <col min="8211" max="8211" width="21.140625" style="12" hidden="1"/>
    <col min="8212" max="8212" width="23.42578125" style="12" hidden="1"/>
    <col min="8213" max="8434" width="10.85546875" style="12" hidden="1"/>
    <col min="8435" max="8435" width="19.7109375" style="12" hidden="1"/>
    <col min="8436" max="8436" width="19.42578125" style="12" hidden="1"/>
    <col min="8437" max="8437" width="10.42578125" style="12" hidden="1"/>
    <col min="8438" max="8438" width="16.42578125" style="12" hidden="1"/>
    <col min="8439" max="8439" width="27.28515625" style="12" hidden="1"/>
    <col min="8440" max="8440" width="10.140625" style="12" hidden="1"/>
    <col min="8441" max="8441" width="18.140625" style="12" hidden="1"/>
    <col min="8442" max="8442" width="21" style="12" hidden="1"/>
    <col min="8443" max="8443" width="23.7109375" style="12" hidden="1"/>
    <col min="8444" max="8444" width="10.7109375" style="12" hidden="1"/>
    <col min="8445" max="8445" width="25.42578125" style="12" hidden="1"/>
    <col min="8446" max="8446" width="12.42578125" style="12" hidden="1"/>
    <col min="8447" max="8447" width="13.42578125" style="12" hidden="1"/>
    <col min="8448" max="8448" width="10.28515625" style="12" hidden="1"/>
    <col min="8449" max="8457" width="15.42578125" style="12" hidden="1"/>
    <col min="8458" max="8458" width="15.85546875" style="12" hidden="1"/>
    <col min="8459" max="8459" width="13.42578125" style="12" hidden="1"/>
    <col min="8460" max="8460" width="12.85546875" style="12" hidden="1"/>
    <col min="8461" max="8461" width="13.42578125" style="12" hidden="1"/>
    <col min="8462" max="8462" width="16" style="12" hidden="1"/>
    <col min="8463" max="8463" width="12.28515625" style="12" hidden="1"/>
    <col min="8464" max="8464" width="17.28515625" style="12" hidden="1"/>
    <col min="8465" max="8465" width="16.28515625" style="12" hidden="1"/>
    <col min="8466" max="8466" width="22.5703125" style="12" hidden="1"/>
    <col min="8467" max="8467" width="21.140625" style="12" hidden="1"/>
    <col min="8468" max="8468" width="23.42578125" style="12" hidden="1"/>
    <col min="8469" max="8690" width="10.85546875" style="12" hidden="1"/>
    <col min="8691" max="8691" width="19.7109375" style="12" hidden="1"/>
    <col min="8692" max="8692" width="19.42578125" style="12" hidden="1"/>
    <col min="8693" max="8693" width="10.42578125" style="12" hidden="1"/>
    <col min="8694" max="8694" width="16.42578125" style="12" hidden="1"/>
    <col min="8695" max="8695" width="27.28515625" style="12" hidden="1"/>
    <col min="8696" max="8696" width="10.140625" style="12" hidden="1"/>
    <col min="8697" max="8697" width="18.140625" style="12" hidden="1"/>
    <col min="8698" max="8698" width="21" style="12" hidden="1"/>
    <col min="8699" max="8699" width="23.7109375" style="12" hidden="1"/>
    <col min="8700" max="8700" width="10.7109375" style="12" hidden="1"/>
    <col min="8701" max="8701" width="25.42578125" style="12" hidden="1"/>
    <col min="8702" max="8702" width="12.42578125" style="12" hidden="1"/>
    <col min="8703" max="8703" width="13.42578125" style="12" hidden="1"/>
    <col min="8704" max="8704" width="10.28515625" style="12" hidden="1"/>
    <col min="8705" max="8713" width="15.42578125" style="12" hidden="1"/>
    <col min="8714" max="8714" width="15.85546875" style="12" hidden="1"/>
    <col min="8715" max="8715" width="13.42578125" style="12" hidden="1"/>
    <col min="8716" max="8716" width="12.85546875" style="12" hidden="1"/>
    <col min="8717" max="8717" width="13.42578125" style="12" hidden="1"/>
    <col min="8718" max="8718" width="16" style="12" hidden="1"/>
    <col min="8719" max="8719" width="12.28515625" style="12" hidden="1"/>
    <col min="8720" max="8720" width="17.28515625" style="12" hidden="1"/>
    <col min="8721" max="8721" width="16.28515625" style="12" hidden="1"/>
    <col min="8722" max="8722" width="22.5703125" style="12" hidden="1"/>
    <col min="8723" max="8723" width="21.140625" style="12" hidden="1"/>
    <col min="8724" max="8724" width="23.42578125" style="12" hidden="1"/>
    <col min="8725" max="8946" width="10.85546875" style="12" hidden="1"/>
    <col min="8947" max="8947" width="19.7109375" style="12" hidden="1"/>
    <col min="8948" max="8948" width="19.42578125" style="12" hidden="1"/>
    <col min="8949" max="8949" width="10.42578125" style="12" hidden="1"/>
    <col min="8950" max="8950" width="16.42578125" style="12" hidden="1"/>
    <col min="8951" max="8951" width="27.28515625" style="12" hidden="1"/>
    <col min="8952" max="8952" width="10.140625" style="12" hidden="1"/>
    <col min="8953" max="8953" width="18.140625" style="12" hidden="1"/>
    <col min="8954" max="8954" width="21" style="12" hidden="1"/>
    <col min="8955" max="8955" width="23.7109375" style="12" hidden="1"/>
    <col min="8956" max="8956" width="10.7109375" style="12" hidden="1"/>
    <col min="8957" max="8957" width="25.42578125" style="12" hidden="1"/>
    <col min="8958" max="8958" width="12.42578125" style="12" hidden="1"/>
    <col min="8959" max="8959" width="13.42578125" style="12" hidden="1"/>
    <col min="8960" max="8960" width="10.28515625" style="12" hidden="1"/>
    <col min="8961" max="8969" width="15.42578125" style="12" hidden="1"/>
    <col min="8970" max="8970" width="15.85546875" style="12" hidden="1"/>
    <col min="8971" max="8971" width="13.42578125" style="12" hidden="1"/>
    <col min="8972" max="8972" width="12.85546875" style="12" hidden="1"/>
    <col min="8973" max="8973" width="13.42578125" style="12" hidden="1"/>
    <col min="8974" max="8974" width="16" style="12" hidden="1"/>
    <col min="8975" max="8975" width="12.28515625" style="12" hidden="1"/>
    <col min="8976" max="8976" width="17.28515625" style="12" hidden="1"/>
    <col min="8977" max="8977" width="16.28515625" style="12" hidden="1"/>
    <col min="8978" max="8978" width="22.5703125" style="12" hidden="1"/>
    <col min="8979" max="8979" width="21.140625" style="12" hidden="1"/>
    <col min="8980" max="8980" width="23.42578125" style="12" hidden="1"/>
    <col min="8981" max="9202" width="10.85546875" style="12" hidden="1"/>
    <col min="9203" max="9203" width="19.7109375" style="12" hidden="1"/>
    <col min="9204" max="9204" width="19.42578125" style="12" hidden="1"/>
    <col min="9205" max="9205" width="10.42578125" style="12" hidden="1"/>
    <col min="9206" max="9206" width="16.42578125" style="12" hidden="1"/>
    <col min="9207" max="9207" width="27.28515625" style="12" hidden="1"/>
    <col min="9208" max="9208" width="10.140625" style="12" hidden="1"/>
    <col min="9209" max="9209" width="18.140625" style="12" hidden="1"/>
    <col min="9210" max="9210" width="21" style="12" hidden="1"/>
    <col min="9211" max="9211" width="23.7109375" style="12" hidden="1"/>
    <col min="9212" max="9212" width="10.7109375" style="12" hidden="1"/>
    <col min="9213" max="9213" width="25.42578125" style="12" hidden="1"/>
    <col min="9214" max="9214" width="12.42578125" style="12" hidden="1"/>
    <col min="9215" max="9215" width="13.42578125" style="12" hidden="1"/>
    <col min="9216" max="9216" width="10.28515625" style="12" hidden="1"/>
    <col min="9217" max="9225" width="15.42578125" style="12" hidden="1"/>
    <col min="9226" max="9226" width="15.85546875" style="12" hidden="1"/>
    <col min="9227" max="9227" width="13.42578125" style="12" hidden="1"/>
    <col min="9228" max="9228" width="12.85546875" style="12" hidden="1"/>
    <col min="9229" max="9229" width="13.42578125" style="12" hidden="1"/>
    <col min="9230" max="9230" width="16" style="12" hidden="1"/>
    <col min="9231" max="9231" width="12.28515625" style="12" hidden="1"/>
    <col min="9232" max="9232" width="17.28515625" style="12" hidden="1"/>
    <col min="9233" max="9233" width="16.28515625" style="12" hidden="1"/>
    <col min="9234" max="9234" width="22.5703125" style="12" hidden="1"/>
    <col min="9235" max="9235" width="21.140625" style="12" hidden="1"/>
    <col min="9236" max="9236" width="23.42578125" style="12" hidden="1"/>
    <col min="9237" max="9458" width="10.85546875" style="12" hidden="1"/>
    <col min="9459" max="9459" width="19.7109375" style="12" hidden="1"/>
    <col min="9460" max="9460" width="19.42578125" style="12" hidden="1"/>
    <col min="9461" max="9461" width="10.42578125" style="12" hidden="1"/>
    <col min="9462" max="9462" width="16.42578125" style="12" hidden="1"/>
    <col min="9463" max="9463" width="27.28515625" style="12" hidden="1"/>
    <col min="9464" max="9464" width="10.140625" style="12" hidden="1"/>
    <col min="9465" max="9465" width="18.140625" style="12" hidden="1"/>
    <col min="9466" max="9466" width="21" style="12" hidden="1"/>
    <col min="9467" max="9467" width="23.7109375" style="12" hidden="1"/>
    <col min="9468" max="9468" width="10.7109375" style="12" hidden="1"/>
    <col min="9469" max="9469" width="25.42578125" style="12" hidden="1"/>
    <col min="9470" max="9470" width="12.42578125" style="12" hidden="1"/>
    <col min="9471" max="9471" width="13.42578125" style="12" hidden="1"/>
    <col min="9472" max="9472" width="10.28515625" style="12" hidden="1"/>
    <col min="9473" max="9481" width="15.42578125" style="12" hidden="1"/>
    <col min="9482" max="9482" width="15.85546875" style="12" hidden="1"/>
    <col min="9483" max="9483" width="13.42578125" style="12" hidden="1"/>
    <col min="9484" max="9484" width="12.85546875" style="12" hidden="1"/>
    <col min="9485" max="9485" width="13.42578125" style="12" hidden="1"/>
    <col min="9486" max="9486" width="16" style="12" hidden="1"/>
    <col min="9487" max="9487" width="12.28515625" style="12" hidden="1"/>
    <col min="9488" max="9488" width="17.28515625" style="12" hidden="1"/>
    <col min="9489" max="9489" width="16.28515625" style="12" hidden="1"/>
    <col min="9490" max="9490" width="22.5703125" style="12" hidden="1"/>
    <col min="9491" max="9491" width="21.140625" style="12" hidden="1"/>
    <col min="9492" max="9492" width="23.42578125" style="12" hidden="1"/>
    <col min="9493" max="9714" width="10.85546875" style="12" hidden="1"/>
    <col min="9715" max="9715" width="19.7109375" style="12" hidden="1"/>
    <col min="9716" max="9716" width="19.42578125" style="12" hidden="1"/>
    <col min="9717" max="9717" width="10.42578125" style="12" hidden="1"/>
    <col min="9718" max="9718" width="16.42578125" style="12" hidden="1"/>
    <col min="9719" max="9719" width="27.28515625" style="12" hidden="1"/>
    <col min="9720" max="9720" width="10.140625" style="12" hidden="1"/>
    <col min="9721" max="9721" width="18.140625" style="12" hidden="1"/>
    <col min="9722" max="9722" width="21" style="12" hidden="1"/>
    <col min="9723" max="9723" width="23.7109375" style="12" hidden="1"/>
    <col min="9724" max="9724" width="10.7109375" style="12" hidden="1"/>
    <col min="9725" max="9725" width="25.42578125" style="12" hidden="1"/>
    <col min="9726" max="9726" width="12.42578125" style="12" hidden="1"/>
    <col min="9727" max="9727" width="13.42578125" style="12" hidden="1"/>
    <col min="9728" max="9728" width="10.28515625" style="12" hidden="1"/>
    <col min="9729" max="9737" width="15.42578125" style="12" hidden="1"/>
    <col min="9738" max="9738" width="15.85546875" style="12" hidden="1"/>
    <col min="9739" max="9739" width="13.42578125" style="12" hidden="1"/>
    <col min="9740" max="9740" width="12.85546875" style="12" hidden="1"/>
    <col min="9741" max="9741" width="13.42578125" style="12" hidden="1"/>
    <col min="9742" max="9742" width="16" style="12" hidden="1"/>
    <col min="9743" max="9743" width="12.28515625" style="12" hidden="1"/>
    <col min="9744" max="9744" width="17.28515625" style="12" hidden="1"/>
    <col min="9745" max="9745" width="16.28515625" style="12" hidden="1"/>
    <col min="9746" max="9746" width="22.5703125" style="12" hidden="1"/>
    <col min="9747" max="9747" width="21.140625" style="12" hidden="1"/>
    <col min="9748" max="9748" width="23.42578125" style="12" hidden="1"/>
    <col min="9749" max="9970" width="10.85546875" style="12" hidden="1"/>
    <col min="9971" max="9971" width="19.7109375" style="12" hidden="1"/>
    <col min="9972" max="9972" width="19.42578125" style="12" hidden="1"/>
    <col min="9973" max="9973" width="10.42578125" style="12" hidden="1"/>
    <col min="9974" max="9974" width="16.42578125" style="12" hidden="1"/>
    <col min="9975" max="9975" width="27.28515625" style="12" hidden="1"/>
    <col min="9976" max="9976" width="10.140625" style="12" hidden="1"/>
    <col min="9977" max="9977" width="18.140625" style="12" hidden="1"/>
    <col min="9978" max="9978" width="21" style="12" hidden="1"/>
    <col min="9979" max="9979" width="23.7109375" style="12" hidden="1"/>
    <col min="9980" max="9980" width="10.7109375" style="12" hidden="1"/>
    <col min="9981" max="9981" width="25.42578125" style="12" hidden="1"/>
    <col min="9982" max="9982" width="12.42578125" style="12" hidden="1"/>
    <col min="9983" max="9983" width="13.42578125" style="12" hidden="1"/>
    <col min="9984" max="9984" width="10.28515625" style="12" hidden="1"/>
    <col min="9985" max="9993" width="15.42578125" style="12" hidden="1"/>
    <col min="9994" max="9994" width="15.85546875" style="12" hidden="1"/>
    <col min="9995" max="9995" width="13.42578125" style="12" hidden="1"/>
    <col min="9996" max="9996" width="12.85546875" style="12" hidden="1"/>
    <col min="9997" max="9997" width="13.42578125" style="12" hidden="1"/>
    <col min="9998" max="9998" width="16" style="12" hidden="1"/>
    <col min="9999" max="9999" width="12.28515625" style="12" hidden="1"/>
    <col min="10000" max="10000" width="17.28515625" style="12" hidden="1"/>
    <col min="10001" max="10001" width="16.28515625" style="12" hidden="1"/>
    <col min="10002" max="10002" width="22.5703125" style="12" hidden="1"/>
    <col min="10003" max="10003" width="21.140625" style="12" hidden="1"/>
    <col min="10004" max="10004" width="23.42578125" style="12" hidden="1"/>
    <col min="10005" max="10226" width="10.85546875" style="12" hidden="1"/>
    <col min="10227" max="10227" width="19.7109375" style="12" hidden="1"/>
    <col min="10228" max="10228" width="19.42578125" style="12" hidden="1"/>
    <col min="10229" max="10229" width="10.42578125" style="12" hidden="1"/>
    <col min="10230" max="10230" width="16.42578125" style="12" hidden="1"/>
    <col min="10231" max="10231" width="27.28515625" style="12" hidden="1"/>
    <col min="10232" max="10232" width="10.140625" style="12" hidden="1"/>
    <col min="10233" max="10233" width="18.140625" style="12" hidden="1"/>
    <col min="10234" max="10234" width="21" style="12" hidden="1"/>
    <col min="10235" max="10235" width="23.7109375" style="12" hidden="1"/>
    <col min="10236" max="10236" width="10.7109375" style="12" hidden="1"/>
    <col min="10237" max="10237" width="25.42578125" style="12" hidden="1"/>
    <col min="10238" max="10238" width="12.42578125" style="12" hidden="1"/>
    <col min="10239" max="10239" width="13.42578125" style="12" hidden="1"/>
    <col min="10240" max="10240" width="10.28515625" style="12" hidden="1"/>
    <col min="10241" max="10249" width="15.42578125" style="12" hidden="1"/>
    <col min="10250" max="10250" width="15.85546875" style="12" hidden="1"/>
    <col min="10251" max="10251" width="13.42578125" style="12" hidden="1"/>
    <col min="10252" max="10252" width="12.85546875" style="12" hidden="1"/>
    <col min="10253" max="10253" width="13.42578125" style="12" hidden="1"/>
    <col min="10254" max="10254" width="16" style="12" hidden="1"/>
    <col min="10255" max="10255" width="12.28515625" style="12" hidden="1"/>
    <col min="10256" max="10256" width="17.28515625" style="12" hidden="1"/>
    <col min="10257" max="10257" width="16.28515625" style="12" hidden="1"/>
    <col min="10258" max="10258" width="22.5703125" style="12" hidden="1"/>
    <col min="10259" max="10259" width="21.140625" style="12" hidden="1"/>
    <col min="10260" max="10260" width="23.42578125" style="12" hidden="1"/>
    <col min="10261" max="10482" width="10.85546875" style="12" hidden="1"/>
    <col min="10483" max="10483" width="19.7109375" style="12" hidden="1"/>
    <col min="10484" max="10484" width="19.42578125" style="12" hidden="1"/>
    <col min="10485" max="10485" width="10.42578125" style="12" hidden="1"/>
    <col min="10486" max="10486" width="16.42578125" style="12" hidden="1"/>
    <col min="10487" max="10487" width="27.28515625" style="12" hidden="1"/>
    <col min="10488" max="10488" width="10.140625" style="12" hidden="1"/>
    <col min="10489" max="10489" width="18.140625" style="12" hidden="1"/>
    <col min="10490" max="10490" width="21" style="12" hidden="1"/>
    <col min="10491" max="10491" width="23.7109375" style="12" hidden="1"/>
    <col min="10492" max="10492" width="10.7109375" style="12" hidden="1"/>
    <col min="10493" max="10493" width="25.42578125" style="12" hidden="1"/>
    <col min="10494" max="10494" width="12.42578125" style="12" hidden="1"/>
    <col min="10495" max="10495" width="13.42578125" style="12" hidden="1"/>
    <col min="10496" max="10496" width="10.28515625" style="12" hidden="1"/>
    <col min="10497" max="10505" width="15.42578125" style="12" hidden="1"/>
    <col min="10506" max="10506" width="15.85546875" style="12" hidden="1"/>
    <col min="10507" max="10507" width="13.42578125" style="12" hidden="1"/>
    <col min="10508" max="10508" width="12.85546875" style="12" hidden="1"/>
    <col min="10509" max="10509" width="13.42578125" style="12" hidden="1"/>
    <col min="10510" max="10510" width="16" style="12" hidden="1"/>
    <col min="10511" max="10511" width="12.28515625" style="12" hidden="1"/>
    <col min="10512" max="10512" width="17.28515625" style="12" hidden="1"/>
    <col min="10513" max="10513" width="16.28515625" style="12" hidden="1"/>
    <col min="10514" max="10514" width="22.5703125" style="12" hidden="1"/>
    <col min="10515" max="10515" width="21.140625" style="12" hidden="1"/>
    <col min="10516" max="10516" width="23.42578125" style="12" hidden="1"/>
    <col min="10517" max="10738" width="10.85546875" style="12" hidden="1"/>
    <col min="10739" max="10739" width="19.7109375" style="12" hidden="1"/>
    <col min="10740" max="10740" width="19.42578125" style="12" hidden="1"/>
    <col min="10741" max="10741" width="10.42578125" style="12" hidden="1"/>
    <col min="10742" max="10742" width="16.42578125" style="12" hidden="1"/>
    <col min="10743" max="10743" width="27.28515625" style="12" hidden="1"/>
    <col min="10744" max="10744" width="10.140625" style="12" hidden="1"/>
    <col min="10745" max="10745" width="18.140625" style="12" hidden="1"/>
    <col min="10746" max="10746" width="21" style="12" hidden="1"/>
    <col min="10747" max="10747" width="23.7109375" style="12" hidden="1"/>
    <col min="10748" max="10748" width="10.7109375" style="12" hidden="1"/>
    <col min="10749" max="10749" width="25.42578125" style="12" hidden="1"/>
    <col min="10750" max="10750" width="12.42578125" style="12" hidden="1"/>
    <col min="10751" max="10751" width="13.42578125" style="12" hidden="1"/>
    <col min="10752" max="10752" width="10.28515625" style="12" hidden="1"/>
    <col min="10753" max="10761" width="15.42578125" style="12" hidden="1"/>
    <col min="10762" max="10762" width="15.85546875" style="12" hidden="1"/>
    <col min="10763" max="10763" width="13.42578125" style="12" hidden="1"/>
    <col min="10764" max="10764" width="12.85546875" style="12" hidden="1"/>
    <col min="10765" max="10765" width="13.42578125" style="12" hidden="1"/>
    <col min="10766" max="10766" width="16" style="12" hidden="1"/>
    <col min="10767" max="10767" width="12.28515625" style="12" hidden="1"/>
    <col min="10768" max="10768" width="17.28515625" style="12" hidden="1"/>
    <col min="10769" max="10769" width="16.28515625" style="12" hidden="1"/>
    <col min="10770" max="10770" width="22.5703125" style="12" hidden="1"/>
    <col min="10771" max="10771" width="21.140625" style="12" hidden="1"/>
    <col min="10772" max="10772" width="23.42578125" style="12" hidden="1"/>
    <col min="10773" max="10994" width="10.85546875" style="12" hidden="1"/>
    <col min="10995" max="10995" width="19.7109375" style="12" hidden="1"/>
    <col min="10996" max="10996" width="19.42578125" style="12" hidden="1"/>
    <col min="10997" max="10997" width="10.42578125" style="12" hidden="1"/>
    <col min="10998" max="10998" width="16.42578125" style="12" hidden="1"/>
    <col min="10999" max="10999" width="27.28515625" style="12" hidden="1"/>
    <col min="11000" max="11000" width="10.140625" style="12" hidden="1"/>
    <col min="11001" max="11001" width="18.140625" style="12" hidden="1"/>
    <col min="11002" max="11002" width="21" style="12" hidden="1"/>
    <col min="11003" max="11003" width="23.7109375" style="12" hidden="1"/>
    <col min="11004" max="11004" width="10.7109375" style="12" hidden="1"/>
    <col min="11005" max="11005" width="25.42578125" style="12" hidden="1"/>
    <col min="11006" max="11006" width="12.42578125" style="12" hidden="1"/>
    <col min="11007" max="11007" width="13.42578125" style="12" hidden="1"/>
    <col min="11008" max="11008" width="10.28515625" style="12" hidden="1"/>
    <col min="11009" max="11017" width="15.42578125" style="12" hidden="1"/>
    <col min="11018" max="11018" width="15.85546875" style="12" hidden="1"/>
    <col min="11019" max="11019" width="13.42578125" style="12" hidden="1"/>
    <col min="11020" max="11020" width="12.85546875" style="12" hidden="1"/>
    <col min="11021" max="11021" width="13.42578125" style="12" hidden="1"/>
    <col min="11022" max="11022" width="16" style="12" hidden="1"/>
    <col min="11023" max="11023" width="12.28515625" style="12" hidden="1"/>
    <col min="11024" max="11024" width="17.28515625" style="12" hidden="1"/>
    <col min="11025" max="11025" width="16.28515625" style="12" hidden="1"/>
    <col min="11026" max="11026" width="22.5703125" style="12" hidden="1"/>
    <col min="11027" max="11027" width="21.140625" style="12" hidden="1"/>
    <col min="11028" max="11028" width="23.42578125" style="12" hidden="1"/>
    <col min="11029" max="11250" width="10.85546875" style="12" hidden="1"/>
    <col min="11251" max="11251" width="19.7109375" style="12" hidden="1"/>
    <col min="11252" max="11252" width="19.42578125" style="12" hidden="1"/>
    <col min="11253" max="11253" width="10.42578125" style="12" hidden="1"/>
    <col min="11254" max="11254" width="16.42578125" style="12" hidden="1"/>
    <col min="11255" max="11255" width="27.28515625" style="12" hidden="1"/>
    <col min="11256" max="11256" width="10.140625" style="12" hidden="1"/>
    <col min="11257" max="11257" width="18.140625" style="12" hidden="1"/>
    <col min="11258" max="11258" width="21" style="12" hidden="1"/>
    <col min="11259" max="11259" width="23.7109375" style="12" hidden="1"/>
    <col min="11260" max="11260" width="10.7109375" style="12" hidden="1"/>
    <col min="11261" max="11261" width="25.42578125" style="12" hidden="1"/>
    <col min="11262" max="11262" width="12.42578125" style="12" hidden="1"/>
    <col min="11263" max="11263" width="13.42578125" style="12" hidden="1"/>
    <col min="11264" max="11264" width="10.28515625" style="12" hidden="1"/>
    <col min="11265" max="11273" width="15.42578125" style="12" hidden="1"/>
    <col min="11274" max="11274" width="15.85546875" style="12" hidden="1"/>
    <col min="11275" max="11275" width="13.42578125" style="12" hidden="1"/>
    <col min="11276" max="11276" width="12.85546875" style="12" hidden="1"/>
    <col min="11277" max="11277" width="13.42578125" style="12" hidden="1"/>
    <col min="11278" max="11278" width="16" style="12" hidden="1"/>
    <col min="11279" max="11279" width="12.28515625" style="12" hidden="1"/>
    <col min="11280" max="11280" width="17.28515625" style="12" hidden="1"/>
    <col min="11281" max="11281" width="16.28515625" style="12" hidden="1"/>
    <col min="11282" max="11282" width="22.5703125" style="12" hidden="1"/>
    <col min="11283" max="11283" width="21.140625" style="12" hidden="1"/>
    <col min="11284" max="11284" width="23.42578125" style="12" hidden="1"/>
    <col min="11285" max="11506" width="10.85546875" style="12" hidden="1"/>
    <col min="11507" max="11507" width="19.7109375" style="12" hidden="1"/>
    <col min="11508" max="11508" width="19.42578125" style="12" hidden="1"/>
    <col min="11509" max="11509" width="10.42578125" style="12" hidden="1"/>
    <col min="11510" max="11510" width="16.42578125" style="12" hidden="1"/>
    <col min="11511" max="11511" width="27.28515625" style="12" hidden="1"/>
    <col min="11512" max="11512" width="10.140625" style="12" hidden="1"/>
    <col min="11513" max="11513" width="18.140625" style="12" hidden="1"/>
    <col min="11514" max="11514" width="21" style="12" hidden="1"/>
    <col min="11515" max="11515" width="23.7109375" style="12" hidden="1"/>
    <col min="11516" max="11516" width="10.7109375" style="12" hidden="1"/>
    <col min="11517" max="11517" width="25.42578125" style="12" hidden="1"/>
    <col min="11518" max="11518" width="12.42578125" style="12" hidden="1"/>
    <col min="11519" max="11519" width="13.42578125" style="12" hidden="1"/>
    <col min="11520" max="11520" width="10.28515625" style="12" hidden="1"/>
    <col min="11521" max="11529" width="15.42578125" style="12" hidden="1"/>
    <col min="11530" max="11530" width="15.85546875" style="12" hidden="1"/>
    <col min="11531" max="11531" width="13.42578125" style="12" hidden="1"/>
    <col min="11532" max="11532" width="12.85546875" style="12" hidden="1"/>
    <col min="11533" max="11533" width="13.42578125" style="12" hidden="1"/>
    <col min="11534" max="11534" width="16" style="12" hidden="1"/>
    <col min="11535" max="11535" width="12.28515625" style="12" hidden="1"/>
    <col min="11536" max="11536" width="17.28515625" style="12" hidden="1"/>
    <col min="11537" max="11537" width="16.28515625" style="12" hidden="1"/>
    <col min="11538" max="11538" width="22.5703125" style="12" hidden="1"/>
    <col min="11539" max="11539" width="21.140625" style="12" hidden="1"/>
    <col min="11540" max="11540" width="23.42578125" style="12" hidden="1"/>
    <col min="11541" max="11762" width="10.85546875" style="12" hidden="1"/>
    <col min="11763" max="11763" width="19.7109375" style="12" hidden="1"/>
    <col min="11764" max="11764" width="19.42578125" style="12" hidden="1"/>
    <col min="11765" max="11765" width="10.42578125" style="12" hidden="1"/>
    <col min="11766" max="11766" width="16.42578125" style="12" hidden="1"/>
    <col min="11767" max="11767" width="27.28515625" style="12" hidden="1"/>
    <col min="11768" max="11768" width="10.140625" style="12" hidden="1"/>
    <col min="11769" max="11769" width="18.140625" style="12" hidden="1"/>
    <col min="11770" max="11770" width="21" style="12" hidden="1"/>
    <col min="11771" max="11771" width="23.7109375" style="12" hidden="1"/>
    <col min="11772" max="11772" width="10.7109375" style="12" hidden="1"/>
    <col min="11773" max="11773" width="25.42578125" style="12" hidden="1"/>
    <col min="11774" max="11774" width="12.42578125" style="12" hidden="1"/>
    <col min="11775" max="11775" width="13.42578125" style="12" hidden="1"/>
    <col min="11776" max="11776" width="10.28515625" style="12" hidden="1"/>
    <col min="11777" max="11785" width="15.42578125" style="12" hidden="1"/>
    <col min="11786" max="11786" width="15.85546875" style="12" hidden="1"/>
    <col min="11787" max="11787" width="13.42578125" style="12" hidden="1"/>
    <col min="11788" max="11788" width="12.85546875" style="12" hidden="1"/>
    <col min="11789" max="11789" width="13.42578125" style="12" hidden="1"/>
    <col min="11790" max="11790" width="16" style="12" hidden="1"/>
    <col min="11791" max="11791" width="12.28515625" style="12" hidden="1"/>
    <col min="11792" max="11792" width="17.28515625" style="12" hidden="1"/>
    <col min="11793" max="11793" width="16.28515625" style="12" hidden="1"/>
    <col min="11794" max="11794" width="22.5703125" style="12" hidden="1"/>
    <col min="11795" max="11795" width="21.140625" style="12" hidden="1"/>
    <col min="11796" max="11796" width="23.42578125" style="12" hidden="1"/>
    <col min="11797" max="12018" width="10.85546875" style="12" hidden="1"/>
    <col min="12019" max="12019" width="19.7109375" style="12" hidden="1"/>
    <col min="12020" max="12020" width="19.42578125" style="12" hidden="1"/>
    <col min="12021" max="12021" width="10.42578125" style="12" hidden="1"/>
    <col min="12022" max="12022" width="16.42578125" style="12" hidden="1"/>
    <col min="12023" max="12023" width="27.28515625" style="12" hidden="1"/>
    <col min="12024" max="12024" width="10.140625" style="12" hidden="1"/>
    <col min="12025" max="12025" width="18.140625" style="12" hidden="1"/>
    <col min="12026" max="12026" width="21" style="12" hidden="1"/>
    <col min="12027" max="12027" width="23.7109375" style="12" hidden="1"/>
    <col min="12028" max="12028" width="10.7109375" style="12" hidden="1"/>
    <col min="12029" max="12029" width="25.42578125" style="12" hidden="1"/>
    <col min="12030" max="12030" width="12.42578125" style="12" hidden="1"/>
    <col min="12031" max="12031" width="13.42578125" style="12" hidden="1"/>
    <col min="12032" max="12032" width="10.28515625" style="12" hidden="1"/>
    <col min="12033" max="12041" width="15.42578125" style="12" hidden="1"/>
    <col min="12042" max="12042" width="15.85546875" style="12" hidden="1"/>
    <col min="12043" max="12043" width="13.42578125" style="12" hidden="1"/>
    <col min="12044" max="12044" width="12.85546875" style="12" hidden="1"/>
    <col min="12045" max="12045" width="13.42578125" style="12" hidden="1"/>
    <col min="12046" max="12046" width="16" style="12" hidden="1"/>
    <col min="12047" max="12047" width="12.28515625" style="12" hidden="1"/>
    <col min="12048" max="12048" width="17.28515625" style="12" hidden="1"/>
    <col min="12049" max="12049" width="16.28515625" style="12" hidden="1"/>
    <col min="12050" max="12050" width="22.5703125" style="12" hidden="1"/>
    <col min="12051" max="12051" width="21.140625" style="12" hidden="1"/>
    <col min="12052" max="12052" width="23.42578125" style="12" hidden="1"/>
    <col min="12053" max="12274" width="10.85546875" style="12" hidden="1"/>
    <col min="12275" max="12275" width="19.7109375" style="12" hidden="1"/>
    <col min="12276" max="12276" width="19.42578125" style="12" hidden="1"/>
    <col min="12277" max="12277" width="10.42578125" style="12" hidden="1"/>
    <col min="12278" max="12278" width="16.42578125" style="12" hidden="1"/>
    <col min="12279" max="12279" width="27.28515625" style="12" hidden="1"/>
    <col min="12280" max="12280" width="10.140625" style="12" hidden="1"/>
    <col min="12281" max="12281" width="18.140625" style="12" hidden="1"/>
    <col min="12282" max="12282" width="21" style="12" hidden="1"/>
    <col min="12283" max="12283" width="23.7109375" style="12" hidden="1"/>
    <col min="12284" max="12284" width="10.7109375" style="12" hidden="1"/>
    <col min="12285" max="12285" width="25.42578125" style="12" hidden="1"/>
    <col min="12286" max="12286" width="12.42578125" style="12" hidden="1"/>
    <col min="12287" max="12287" width="13.42578125" style="12" hidden="1"/>
    <col min="12288" max="12288" width="10.28515625" style="12" hidden="1"/>
    <col min="12289" max="12297" width="15.42578125" style="12" hidden="1"/>
    <col min="12298" max="12298" width="15.85546875" style="12" hidden="1"/>
    <col min="12299" max="12299" width="13.42578125" style="12" hidden="1"/>
    <col min="12300" max="12300" width="12.85546875" style="12" hidden="1"/>
    <col min="12301" max="12301" width="13.42578125" style="12" hidden="1"/>
    <col min="12302" max="12302" width="16" style="12" hidden="1"/>
    <col min="12303" max="12303" width="12.28515625" style="12" hidden="1"/>
    <col min="12304" max="12304" width="17.28515625" style="12" hidden="1"/>
    <col min="12305" max="12305" width="16.28515625" style="12" hidden="1"/>
    <col min="12306" max="12306" width="22.5703125" style="12" hidden="1"/>
    <col min="12307" max="12307" width="21.140625" style="12" hidden="1"/>
    <col min="12308" max="12308" width="23.42578125" style="12" hidden="1"/>
    <col min="12309" max="12530" width="10.85546875" style="12" hidden="1"/>
    <col min="12531" max="12531" width="19.7109375" style="12" hidden="1"/>
    <col min="12532" max="12532" width="19.42578125" style="12" hidden="1"/>
    <col min="12533" max="12533" width="10.42578125" style="12" hidden="1"/>
    <col min="12534" max="12534" width="16.42578125" style="12" hidden="1"/>
    <col min="12535" max="12535" width="27.28515625" style="12" hidden="1"/>
    <col min="12536" max="12536" width="10.140625" style="12" hidden="1"/>
    <col min="12537" max="12537" width="18.140625" style="12" hidden="1"/>
    <col min="12538" max="12538" width="21" style="12" hidden="1"/>
    <col min="12539" max="12539" width="23.7109375" style="12" hidden="1"/>
    <col min="12540" max="12540" width="10.7109375" style="12" hidden="1"/>
    <col min="12541" max="12541" width="25.42578125" style="12" hidden="1"/>
    <col min="12542" max="12542" width="12.42578125" style="12" hidden="1"/>
    <col min="12543" max="12543" width="13.42578125" style="12" hidden="1"/>
    <col min="12544" max="12544" width="10.28515625" style="12" hidden="1"/>
    <col min="12545" max="12553" width="15.42578125" style="12" hidden="1"/>
    <col min="12554" max="12554" width="15.85546875" style="12" hidden="1"/>
    <col min="12555" max="12555" width="13.42578125" style="12" hidden="1"/>
    <col min="12556" max="12556" width="12.85546875" style="12" hidden="1"/>
    <col min="12557" max="12557" width="13.42578125" style="12" hidden="1"/>
    <col min="12558" max="12558" width="16" style="12" hidden="1"/>
    <col min="12559" max="12559" width="12.28515625" style="12" hidden="1"/>
    <col min="12560" max="12560" width="17.28515625" style="12" hidden="1"/>
    <col min="12561" max="12561" width="16.28515625" style="12" hidden="1"/>
    <col min="12562" max="12562" width="22.5703125" style="12" hidden="1"/>
    <col min="12563" max="12563" width="21.140625" style="12" hidden="1"/>
    <col min="12564" max="12564" width="23.42578125" style="12" hidden="1"/>
    <col min="12565" max="12786" width="10.85546875" style="12" hidden="1"/>
    <col min="12787" max="12787" width="19.7109375" style="12" hidden="1"/>
    <col min="12788" max="12788" width="19.42578125" style="12" hidden="1"/>
    <col min="12789" max="12789" width="10.42578125" style="12" hidden="1"/>
    <col min="12790" max="12790" width="16.42578125" style="12" hidden="1"/>
    <col min="12791" max="12791" width="27.28515625" style="12" hidden="1"/>
    <col min="12792" max="12792" width="10.140625" style="12" hidden="1"/>
    <col min="12793" max="12793" width="18.140625" style="12" hidden="1"/>
    <col min="12794" max="12794" width="21" style="12" hidden="1"/>
    <col min="12795" max="12795" width="23.7109375" style="12" hidden="1"/>
    <col min="12796" max="12796" width="10.7109375" style="12" hidden="1"/>
    <col min="12797" max="12797" width="25.42578125" style="12" hidden="1"/>
    <col min="12798" max="12798" width="12.42578125" style="12" hidden="1"/>
    <col min="12799" max="12799" width="13.42578125" style="12" hidden="1"/>
    <col min="12800" max="12800" width="10.28515625" style="12" hidden="1"/>
    <col min="12801" max="12809" width="15.42578125" style="12" hidden="1"/>
    <col min="12810" max="12810" width="15.85546875" style="12" hidden="1"/>
    <col min="12811" max="12811" width="13.42578125" style="12" hidden="1"/>
    <col min="12812" max="12812" width="12.85546875" style="12" hidden="1"/>
    <col min="12813" max="12813" width="13.42578125" style="12" hidden="1"/>
    <col min="12814" max="12814" width="16" style="12" hidden="1"/>
    <col min="12815" max="12815" width="12.28515625" style="12" hidden="1"/>
    <col min="12816" max="12816" width="17.28515625" style="12" hidden="1"/>
    <col min="12817" max="12817" width="16.28515625" style="12" hidden="1"/>
    <col min="12818" max="12818" width="22.5703125" style="12" hidden="1"/>
    <col min="12819" max="12819" width="21.140625" style="12" hidden="1"/>
    <col min="12820" max="12820" width="23.42578125" style="12" hidden="1"/>
    <col min="12821" max="13042" width="10.85546875" style="12" hidden="1"/>
    <col min="13043" max="13043" width="19.7109375" style="12" hidden="1"/>
    <col min="13044" max="13044" width="19.42578125" style="12" hidden="1"/>
    <col min="13045" max="13045" width="10.42578125" style="12" hidden="1"/>
    <col min="13046" max="13046" width="16.42578125" style="12" hidden="1"/>
    <col min="13047" max="13047" width="27.28515625" style="12" hidden="1"/>
    <col min="13048" max="13048" width="10.140625" style="12" hidden="1"/>
    <col min="13049" max="13049" width="18.140625" style="12" hidden="1"/>
    <col min="13050" max="13050" width="21" style="12" hidden="1"/>
    <col min="13051" max="13051" width="23.7109375" style="12" hidden="1"/>
    <col min="13052" max="13052" width="10.7109375" style="12" hidden="1"/>
    <col min="13053" max="13053" width="25.42578125" style="12" hidden="1"/>
    <col min="13054" max="13054" width="12.42578125" style="12" hidden="1"/>
    <col min="13055" max="13055" width="13.42578125" style="12" hidden="1"/>
    <col min="13056" max="13056" width="10.28515625" style="12" hidden="1"/>
    <col min="13057" max="13065" width="15.42578125" style="12" hidden="1"/>
    <col min="13066" max="13066" width="15.85546875" style="12" hidden="1"/>
    <col min="13067" max="13067" width="13.42578125" style="12" hidden="1"/>
    <col min="13068" max="13068" width="12.85546875" style="12" hidden="1"/>
    <col min="13069" max="13069" width="13.42578125" style="12" hidden="1"/>
    <col min="13070" max="13070" width="16" style="12" hidden="1"/>
    <col min="13071" max="13071" width="12.28515625" style="12" hidden="1"/>
    <col min="13072" max="13072" width="17.28515625" style="12" hidden="1"/>
    <col min="13073" max="13073" width="16.28515625" style="12" hidden="1"/>
    <col min="13074" max="13074" width="22.5703125" style="12" hidden="1"/>
    <col min="13075" max="13075" width="21.140625" style="12" hidden="1"/>
    <col min="13076" max="13076" width="23.42578125" style="12" hidden="1"/>
    <col min="13077" max="13298" width="10.85546875" style="12" hidden="1"/>
    <col min="13299" max="13299" width="19.7109375" style="12" hidden="1"/>
    <col min="13300" max="13300" width="19.42578125" style="12" hidden="1"/>
    <col min="13301" max="13301" width="10.42578125" style="12" hidden="1"/>
    <col min="13302" max="13302" width="16.42578125" style="12" hidden="1"/>
    <col min="13303" max="13303" width="27.28515625" style="12" hidden="1"/>
    <col min="13304" max="13304" width="10.140625" style="12" hidden="1"/>
    <col min="13305" max="13305" width="18.140625" style="12" hidden="1"/>
    <col min="13306" max="13306" width="21" style="12" hidden="1"/>
    <col min="13307" max="13307" width="23.7109375" style="12" hidden="1"/>
    <col min="13308" max="13308" width="10.7109375" style="12" hidden="1"/>
    <col min="13309" max="13309" width="25.42578125" style="12" hidden="1"/>
    <col min="13310" max="13310" width="12.42578125" style="12" hidden="1"/>
    <col min="13311" max="13311" width="13.42578125" style="12" hidden="1"/>
    <col min="13312" max="13312" width="10.28515625" style="12" hidden="1"/>
    <col min="13313" max="13321" width="15.42578125" style="12" hidden="1"/>
    <col min="13322" max="13322" width="15.85546875" style="12" hidden="1"/>
    <col min="13323" max="13323" width="13.42578125" style="12" hidden="1"/>
    <col min="13324" max="13324" width="12.85546875" style="12" hidden="1"/>
    <col min="13325" max="13325" width="13.42578125" style="12" hidden="1"/>
    <col min="13326" max="13326" width="16" style="12" hidden="1"/>
    <col min="13327" max="13327" width="12.28515625" style="12" hidden="1"/>
    <col min="13328" max="13328" width="17.28515625" style="12" hidden="1"/>
    <col min="13329" max="13329" width="16.28515625" style="12" hidden="1"/>
    <col min="13330" max="13330" width="22.5703125" style="12" hidden="1"/>
    <col min="13331" max="13331" width="21.140625" style="12" hidden="1"/>
    <col min="13332" max="13332" width="23.42578125" style="12" hidden="1"/>
    <col min="13333" max="13554" width="10.85546875" style="12" hidden="1"/>
    <col min="13555" max="13555" width="19.7109375" style="12" hidden="1"/>
    <col min="13556" max="13556" width="19.42578125" style="12" hidden="1"/>
    <col min="13557" max="13557" width="10.42578125" style="12" hidden="1"/>
    <col min="13558" max="13558" width="16.42578125" style="12" hidden="1"/>
    <col min="13559" max="13559" width="27.28515625" style="12" hidden="1"/>
    <col min="13560" max="13560" width="10.140625" style="12" hidden="1"/>
    <col min="13561" max="13561" width="18.140625" style="12" hidden="1"/>
    <col min="13562" max="13562" width="21" style="12" hidden="1"/>
    <col min="13563" max="13563" width="23.7109375" style="12" hidden="1"/>
    <col min="13564" max="13564" width="10.7109375" style="12" hidden="1"/>
    <col min="13565" max="13565" width="25.42578125" style="12" hidden="1"/>
    <col min="13566" max="13566" width="12.42578125" style="12" hidden="1"/>
    <col min="13567" max="13567" width="13.42578125" style="12" hidden="1"/>
    <col min="13568" max="13568" width="10.28515625" style="12" hidden="1"/>
    <col min="13569" max="13577" width="15.42578125" style="12" hidden="1"/>
    <col min="13578" max="13578" width="15.85546875" style="12" hidden="1"/>
    <col min="13579" max="13579" width="13.42578125" style="12" hidden="1"/>
    <col min="13580" max="13580" width="12.85546875" style="12" hidden="1"/>
    <col min="13581" max="13581" width="13.42578125" style="12" hidden="1"/>
    <col min="13582" max="13582" width="16" style="12" hidden="1"/>
    <col min="13583" max="13583" width="12.28515625" style="12" hidden="1"/>
    <col min="13584" max="13584" width="17.28515625" style="12" hidden="1"/>
    <col min="13585" max="13585" width="16.28515625" style="12" hidden="1"/>
    <col min="13586" max="13586" width="22.5703125" style="12" hidden="1"/>
    <col min="13587" max="13587" width="21.140625" style="12" hidden="1"/>
    <col min="13588" max="13588" width="23.42578125" style="12" hidden="1"/>
    <col min="13589" max="13810" width="10.85546875" style="12" hidden="1"/>
    <col min="13811" max="13811" width="19.7109375" style="12" hidden="1"/>
    <col min="13812" max="13812" width="19.42578125" style="12" hidden="1"/>
    <col min="13813" max="13813" width="10.42578125" style="12" hidden="1"/>
    <col min="13814" max="13814" width="16.42578125" style="12" hidden="1"/>
    <col min="13815" max="13815" width="27.28515625" style="12" hidden="1"/>
    <col min="13816" max="13816" width="10.140625" style="12" hidden="1"/>
    <col min="13817" max="13817" width="18.140625" style="12" hidden="1"/>
    <col min="13818" max="13818" width="21" style="12" hidden="1"/>
    <col min="13819" max="13819" width="23.7109375" style="12" hidden="1"/>
    <col min="13820" max="13820" width="10.7109375" style="12" hidden="1"/>
    <col min="13821" max="13821" width="25.42578125" style="12" hidden="1"/>
    <col min="13822" max="13822" width="12.42578125" style="12" hidden="1"/>
    <col min="13823" max="13823" width="13.42578125" style="12" hidden="1"/>
    <col min="13824" max="13824" width="10.28515625" style="12" hidden="1"/>
    <col min="13825" max="13833" width="15.42578125" style="12" hidden="1"/>
    <col min="13834" max="13834" width="15.85546875" style="12" hidden="1"/>
    <col min="13835" max="13835" width="13.42578125" style="12" hidden="1"/>
    <col min="13836" max="13836" width="12.85546875" style="12" hidden="1"/>
    <col min="13837" max="13837" width="13.42578125" style="12" hidden="1"/>
    <col min="13838" max="13838" width="16" style="12" hidden="1"/>
    <col min="13839" max="13839" width="12.28515625" style="12" hidden="1"/>
    <col min="13840" max="13840" width="17.28515625" style="12" hidden="1"/>
    <col min="13841" max="13841" width="16.28515625" style="12" hidden="1"/>
    <col min="13842" max="13842" width="22.5703125" style="12" hidden="1"/>
    <col min="13843" max="13843" width="21.140625" style="12" hidden="1"/>
    <col min="13844" max="13844" width="23.42578125" style="12" hidden="1"/>
    <col min="13845" max="14066" width="10.85546875" style="12" hidden="1"/>
    <col min="14067" max="14067" width="19.7109375" style="12" hidden="1"/>
    <col min="14068" max="14068" width="19.42578125" style="12" hidden="1"/>
    <col min="14069" max="14069" width="10.42578125" style="12" hidden="1"/>
    <col min="14070" max="14070" width="16.42578125" style="12" hidden="1"/>
    <col min="14071" max="14071" width="27.28515625" style="12" hidden="1"/>
    <col min="14072" max="14072" width="10.140625" style="12" hidden="1"/>
    <col min="14073" max="14073" width="18.140625" style="12" hidden="1"/>
    <col min="14074" max="14074" width="21" style="12" hidden="1"/>
    <col min="14075" max="14075" width="23.7109375" style="12" hidden="1"/>
    <col min="14076" max="14076" width="10.7109375" style="12" hidden="1"/>
    <col min="14077" max="14077" width="25.42578125" style="12" hidden="1"/>
    <col min="14078" max="14078" width="12.42578125" style="12" hidden="1"/>
    <col min="14079" max="14079" width="13.42578125" style="12" hidden="1"/>
    <col min="14080" max="14080" width="10.28515625" style="12" hidden="1"/>
    <col min="14081" max="14089" width="15.42578125" style="12" hidden="1"/>
    <col min="14090" max="14090" width="15.85546875" style="12" hidden="1"/>
    <col min="14091" max="14091" width="13.42578125" style="12" hidden="1"/>
    <col min="14092" max="14092" width="12.85546875" style="12" hidden="1"/>
    <col min="14093" max="14093" width="13.42578125" style="12" hidden="1"/>
    <col min="14094" max="14094" width="16" style="12" hidden="1"/>
    <col min="14095" max="14095" width="12.28515625" style="12" hidden="1"/>
    <col min="14096" max="14096" width="17.28515625" style="12" hidden="1"/>
    <col min="14097" max="14097" width="16.28515625" style="12" hidden="1"/>
    <col min="14098" max="14098" width="22.5703125" style="12" hidden="1"/>
    <col min="14099" max="14099" width="21.140625" style="12" hidden="1"/>
    <col min="14100" max="14100" width="23.42578125" style="12" hidden="1"/>
    <col min="14101" max="14322" width="10.85546875" style="12" hidden="1"/>
    <col min="14323" max="14323" width="19.7109375" style="12" hidden="1"/>
    <col min="14324" max="14324" width="19.42578125" style="12" hidden="1"/>
    <col min="14325" max="14325" width="10.42578125" style="12" hidden="1"/>
    <col min="14326" max="14326" width="16.42578125" style="12" hidden="1"/>
    <col min="14327" max="14327" width="27.28515625" style="12" hidden="1"/>
    <col min="14328" max="14328" width="10.140625" style="12" hidden="1"/>
    <col min="14329" max="14329" width="18.140625" style="12" hidden="1"/>
    <col min="14330" max="14330" width="21" style="12" hidden="1"/>
    <col min="14331" max="14331" width="23.7109375" style="12" hidden="1"/>
    <col min="14332" max="14332" width="10.7109375" style="12" hidden="1"/>
    <col min="14333" max="14333" width="25.42578125" style="12" hidden="1"/>
    <col min="14334" max="14334" width="12.42578125" style="12" hidden="1"/>
    <col min="14335" max="14335" width="13.42578125" style="12" hidden="1"/>
    <col min="14336" max="14336" width="10.28515625" style="12" hidden="1"/>
    <col min="14337" max="14345" width="15.42578125" style="12" hidden="1"/>
    <col min="14346" max="14346" width="15.85546875" style="12" hidden="1"/>
    <col min="14347" max="14347" width="13.42578125" style="12" hidden="1"/>
    <col min="14348" max="14348" width="12.85546875" style="12" hidden="1"/>
    <col min="14349" max="14349" width="13.42578125" style="12" hidden="1"/>
    <col min="14350" max="14350" width="16" style="12" hidden="1"/>
    <col min="14351" max="14351" width="12.28515625" style="12" hidden="1"/>
    <col min="14352" max="14352" width="17.28515625" style="12" hidden="1"/>
    <col min="14353" max="14353" width="16.28515625" style="12" hidden="1"/>
    <col min="14354" max="14354" width="22.5703125" style="12" hidden="1"/>
    <col min="14355" max="14355" width="21.140625" style="12" hidden="1"/>
    <col min="14356" max="14356" width="23.42578125" style="12" hidden="1"/>
    <col min="14357" max="14578" width="10.85546875" style="12" hidden="1"/>
    <col min="14579" max="14579" width="19.7109375" style="12" hidden="1"/>
    <col min="14580" max="14580" width="19.42578125" style="12" hidden="1"/>
    <col min="14581" max="14581" width="10.42578125" style="12" hidden="1"/>
    <col min="14582" max="14582" width="16.42578125" style="12" hidden="1"/>
    <col min="14583" max="14583" width="27.28515625" style="12" hidden="1"/>
    <col min="14584" max="14584" width="10.140625" style="12" hidden="1"/>
    <col min="14585" max="14585" width="18.140625" style="12" hidden="1"/>
    <col min="14586" max="14586" width="21" style="12" hidden="1"/>
    <col min="14587" max="14587" width="23.7109375" style="12" hidden="1"/>
    <col min="14588" max="14588" width="10.7109375" style="12" hidden="1"/>
    <col min="14589" max="14589" width="25.42578125" style="12" hidden="1"/>
    <col min="14590" max="14590" width="12.42578125" style="12" hidden="1"/>
    <col min="14591" max="14591" width="13.42578125" style="12" hidden="1"/>
    <col min="14592" max="14592" width="10.28515625" style="12" hidden="1"/>
    <col min="14593" max="14601" width="15.42578125" style="12" hidden="1"/>
    <col min="14602" max="14602" width="15.85546875" style="12" hidden="1"/>
    <col min="14603" max="14603" width="13.42578125" style="12" hidden="1"/>
    <col min="14604" max="14604" width="12.85546875" style="12" hidden="1"/>
    <col min="14605" max="14605" width="13.42578125" style="12" hidden="1"/>
    <col min="14606" max="14606" width="16" style="12" hidden="1"/>
    <col min="14607" max="14607" width="12.28515625" style="12" hidden="1"/>
    <col min="14608" max="14608" width="17.28515625" style="12" hidden="1"/>
    <col min="14609" max="14609" width="16.28515625" style="12" hidden="1"/>
    <col min="14610" max="14610" width="22.5703125" style="12" hidden="1"/>
    <col min="14611" max="14611" width="21.140625" style="12" hidden="1"/>
    <col min="14612" max="14612" width="23.42578125" style="12" hidden="1"/>
    <col min="14613" max="14834" width="10.85546875" style="12" hidden="1"/>
    <col min="14835" max="14835" width="19.7109375" style="12" hidden="1"/>
    <col min="14836" max="14836" width="19.42578125" style="12" hidden="1"/>
    <col min="14837" max="14837" width="10.42578125" style="12" hidden="1"/>
    <col min="14838" max="14838" width="16.42578125" style="12" hidden="1"/>
    <col min="14839" max="14839" width="27.28515625" style="12" hidden="1"/>
    <col min="14840" max="14840" width="10.140625" style="12" hidden="1"/>
    <col min="14841" max="14841" width="18.140625" style="12" hidden="1"/>
    <col min="14842" max="14842" width="21" style="12" hidden="1"/>
    <col min="14843" max="14843" width="23.7109375" style="12" hidden="1"/>
    <col min="14844" max="14844" width="10.7109375" style="12" hidden="1"/>
    <col min="14845" max="14845" width="25.42578125" style="12" hidden="1"/>
    <col min="14846" max="14846" width="12.42578125" style="12" hidden="1"/>
    <col min="14847" max="14847" width="13.42578125" style="12" hidden="1"/>
    <col min="14848" max="14848" width="10.28515625" style="12" hidden="1"/>
    <col min="14849" max="14857" width="15.42578125" style="12" hidden="1"/>
    <col min="14858" max="14858" width="15.85546875" style="12" hidden="1"/>
    <col min="14859" max="14859" width="13.42578125" style="12" hidden="1"/>
    <col min="14860" max="14860" width="12.85546875" style="12" hidden="1"/>
    <col min="14861" max="14861" width="13.42578125" style="12" hidden="1"/>
    <col min="14862" max="14862" width="16" style="12" hidden="1"/>
    <col min="14863" max="14863" width="12.28515625" style="12" hidden="1"/>
    <col min="14864" max="14864" width="17.28515625" style="12" hidden="1"/>
    <col min="14865" max="14865" width="16.28515625" style="12" hidden="1"/>
    <col min="14866" max="14866" width="22.5703125" style="12" hidden="1"/>
    <col min="14867" max="14867" width="21.140625" style="12" hidden="1"/>
    <col min="14868" max="14868" width="23.42578125" style="12" hidden="1"/>
    <col min="14869" max="15090" width="10.85546875" style="12" hidden="1"/>
    <col min="15091" max="15091" width="19.7109375" style="12" hidden="1"/>
    <col min="15092" max="15092" width="19.42578125" style="12" hidden="1"/>
    <col min="15093" max="15093" width="10.42578125" style="12" hidden="1"/>
    <col min="15094" max="15094" width="16.42578125" style="12" hidden="1"/>
    <col min="15095" max="15095" width="27.28515625" style="12" hidden="1"/>
    <col min="15096" max="15096" width="10.140625" style="12" hidden="1"/>
    <col min="15097" max="15097" width="18.140625" style="12" hidden="1"/>
    <col min="15098" max="15098" width="21" style="12" hidden="1"/>
    <col min="15099" max="15099" width="23.7109375" style="12" hidden="1"/>
    <col min="15100" max="15100" width="10.7109375" style="12" hidden="1"/>
    <col min="15101" max="15101" width="25.42578125" style="12" hidden="1"/>
    <col min="15102" max="15102" width="12.42578125" style="12" hidden="1"/>
    <col min="15103" max="15103" width="13.42578125" style="12" hidden="1"/>
    <col min="15104" max="15104" width="10.28515625" style="12" hidden="1"/>
    <col min="15105" max="15113" width="15.42578125" style="12" hidden="1"/>
    <col min="15114" max="15114" width="15.85546875" style="12" hidden="1"/>
    <col min="15115" max="15115" width="13.42578125" style="12" hidden="1"/>
    <col min="15116" max="15116" width="12.85546875" style="12" hidden="1"/>
    <col min="15117" max="15117" width="13.42578125" style="12" hidden="1"/>
    <col min="15118" max="15118" width="16" style="12" hidden="1"/>
    <col min="15119" max="15119" width="12.28515625" style="12" hidden="1"/>
    <col min="15120" max="15120" width="17.28515625" style="12" hidden="1"/>
    <col min="15121" max="15121" width="16.28515625" style="12" hidden="1"/>
    <col min="15122" max="15122" width="22.5703125" style="12" hidden="1"/>
    <col min="15123" max="15123" width="21.140625" style="12" hidden="1"/>
    <col min="15124" max="15124" width="23.42578125" style="12" hidden="1"/>
    <col min="15125" max="15346" width="10.85546875" style="12" hidden="1"/>
    <col min="15347" max="15347" width="19.7109375" style="12" hidden="1"/>
    <col min="15348" max="15348" width="19.42578125" style="12" hidden="1"/>
    <col min="15349" max="15349" width="10.42578125" style="12" hidden="1"/>
    <col min="15350" max="15350" width="16.42578125" style="12" hidden="1"/>
    <col min="15351" max="15351" width="27.28515625" style="12" hidden="1"/>
    <col min="15352" max="15352" width="10.140625" style="12" hidden="1"/>
    <col min="15353" max="15353" width="18.140625" style="12" hidden="1"/>
    <col min="15354" max="15354" width="21" style="12" hidden="1"/>
    <col min="15355" max="15355" width="23.7109375" style="12" hidden="1"/>
    <col min="15356" max="15356" width="10.7109375" style="12" hidden="1"/>
    <col min="15357" max="15357" width="25.42578125" style="12" hidden="1"/>
    <col min="15358" max="15358" width="12.42578125" style="12" hidden="1"/>
    <col min="15359" max="15359" width="13.42578125" style="12" hidden="1"/>
    <col min="15360" max="15360" width="10.28515625" style="12" hidden="1"/>
    <col min="15361" max="15369" width="15.42578125" style="12" hidden="1"/>
    <col min="15370" max="15370" width="15.85546875" style="12" hidden="1"/>
    <col min="15371" max="15371" width="13.42578125" style="12" hidden="1"/>
    <col min="15372" max="15372" width="12.85546875" style="12" hidden="1"/>
    <col min="15373" max="15373" width="13.42578125" style="12" hidden="1"/>
    <col min="15374" max="15374" width="16" style="12" hidden="1"/>
    <col min="15375" max="15375" width="12.28515625" style="12" hidden="1"/>
    <col min="15376" max="15376" width="17.28515625" style="12" hidden="1"/>
    <col min="15377" max="15377" width="16.28515625" style="12" hidden="1"/>
    <col min="15378" max="15378" width="22.5703125" style="12" hidden="1"/>
    <col min="15379" max="15379" width="21.140625" style="12" hidden="1"/>
    <col min="15380" max="15380" width="23.42578125" style="12" hidden="1"/>
    <col min="15381" max="15602" width="10.85546875" style="12" hidden="1"/>
    <col min="15603" max="15603" width="19.7109375" style="12" hidden="1"/>
    <col min="15604" max="15604" width="19.42578125" style="12" hidden="1"/>
    <col min="15605" max="15605" width="10.42578125" style="12" hidden="1"/>
    <col min="15606" max="15606" width="16.42578125" style="12" hidden="1"/>
    <col min="15607" max="15607" width="27.28515625" style="12" hidden="1"/>
    <col min="15608" max="15608" width="10.140625" style="12" hidden="1"/>
    <col min="15609" max="15609" width="18.140625" style="12" hidden="1"/>
    <col min="15610" max="15610" width="21" style="12" hidden="1"/>
    <col min="15611" max="15611" width="23.7109375" style="12" hidden="1"/>
    <col min="15612" max="15612" width="10.7109375" style="12" hidden="1"/>
    <col min="15613" max="15613" width="25.42578125" style="12" hidden="1"/>
    <col min="15614" max="15614" width="12.42578125" style="12" hidden="1"/>
    <col min="15615" max="15615" width="13.42578125" style="12" hidden="1"/>
    <col min="15616" max="15616" width="10.28515625" style="12" hidden="1"/>
    <col min="15617" max="15625" width="15.42578125" style="12" hidden="1"/>
    <col min="15626" max="15626" width="15.85546875" style="12" hidden="1"/>
    <col min="15627" max="15627" width="13.42578125" style="12" hidden="1"/>
    <col min="15628" max="15628" width="12.85546875" style="12" hidden="1"/>
    <col min="15629" max="15629" width="13.42578125" style="12" hidden="1"/>
    <col min="15630" max="15630" width="16" style="12" hidden="1"/>
    <col min="15631" max="15631" width="12.28515625" style="12" hidden="1"/>
    <col min="15632" max="15632" width="17.28515625" style="12" hidden="1"/>
    <col min="15633" max="15633" width="16.28515625" style="12" hidden="1"/>
    <col min="15634" max="15634" width="22.5703125" style="12" hidden="1"/>
    <col min="15635" max="15635" width="21.140625" style="12" hidden="1"/>
    <col min="15636" max="15636" width="23.42578125" style="12" hidden="1"/>
    <col min="15637" max="15858" width="10.85546875" style="12" hidden="1"/>
    <col min="15859" max="15859" width="19.7109375" style="12" hidden="1"/>
    <col min="15860" max="15860" width="19.42578125" style="12" hidden="1"/>
    <col min="15861" max="15861" width="10.42578125" style="12" hidden="1"/>
    <col min="15862" max="15862" width="16.42578125" style="12" hidden="1"/>
    <col min="15863" max="15863" width="27.28515625" style="12" hidden="1"/>
    <col min="15864" max="15864" width="10.140625" style="12" hidden="1"/>
    <col min="15865" max="15865" width="18.140625" style="12" hidden="1"/>
    <col min="15866" max="15866" width="21" style="12" hidden="1"/>
    <col min="15867" max="15867" width="23.7109375" style="12" hidden="1"/>
    <col min="15868" max="15868" width="10.7109375" style="12" hidden="1"/>
    <col min="15869" max="15869" width="25.42578125" style="12" hidden="1"/>
    <col min="15870" max="15870" width="12.42578125" style="12" hidden="1"/>
    <col min="15871" max="15871" width="13.42578125" style="12" hidden="1"/>
    <col min="15872" max="15872" width="10.28515625" style="12" hidden="1"/>
    <col min="15873" max="15881" width="15.42578125" style="12" hidden="1"/>
    <col min="15882" max="15882" width="15.85546875" style="12" hidden="1"/>
    <col min="15883" max="15883" width="13.42578125" style="12" hidden="1"/>
    <col min="15884" max="15884" width="12.85546875" style="12" hidden="1"/>
    <col min="15885" max="15885" width="13.42578125" style="12" hidden="1"/>
    <col min="15886" max="15886" width="16" style="12" hidden="1"/>
    <col min="15887" max="15887" width="12.28515625" style="12" hidden="1"/>
    <col min="15888" max="15888" width="17.28515625" style="12" hidden="1"/>
    <col min="15889" max="15889" width="16.28515625" style="12" hidden="1"/>
    <col min="15890" max="15890" width="22.5703125" style="12" hidden="1"/>
    <col min="15891" max="15891" width="21.140625" style="12" hidden="1"/>
    <col min="15892" max="15892" width="23.42578125" style="12" hidden="1"/>
    <col min="15893" max="16114" width="10.85546875" style="12" hidden="1"/>
    <col min="16115" max="16115" width="19.7109375" style="12" hidden="1"/>
    <col min="16116" max="16116" width="19.42578125" style="12" hidden="1"/>
    <col min="16117" max="16117" width="10.42578125" style="12" hidden="1"/>
    <col min="16118" max="16118" width="16.42578125" style="12" hidden="1"/>
    <col min="16119" max="16119" width="27.28515625" style="12" hidden="1"/>
    <col min="16120" max="16120" width="10.140625" style="12" hidden="1"/>
    <col min="16121" max="16121" width="18.140625" style="12" hidden="1"/>
    <col min="16122" max="16122" width="21" style="12" hidden="1"/>
    <col min="16123" max="16123" width="23.7109375" style="12" hidden="1"/>
    <col min="16124" max="16124" width="10.7109375" style="12" hidden="1"/>
    <col min="16125" max="16125" width="25.42578125" style="12" hidden="1"/>
    <col min="16126" max="16126" width="12.42578125" style="12" hidden="1"/>
    <col min="16127" max="16127" width="13.42578125" style="12" hidden="1"/>
    <col min="16128" max="16128" width="10.28515625" style="12" hidden="1"/>
    <col min="16129" max="16137" width="15.42578125" style="12" hidden="1"/>
    <col min="16138" max="16138" width="15.85546875" style="12" hidden="1"/>
    <col min="16139" max="16139" width="13.42578125" style="12" hidden="1"/>
    <col min="16140" max="16140" width="12.85546875" style="12" hidden="1"/>
    <col min="16141" max="16141" width="13.42578125" style="12" hidden="1"/>
    <col min="16142" max="16142" width="16" style="12" hidden="1"/>
    <col min="16143" max="16143" width="12.28515625" style="12" hidden="1"/>
    <col min="16144" max="16144" width="17.28515625" style="12" hidden="1"/>
    <col min="16145" max="16145" width="16.28515625" style="12" hidden="1"/>
    <col min="16146" max="16146" width="22.5703125" style="12" hidden="1"/>
    <col min="16147" max="16147" width="21.140625" style="12" hidden="1"/>
    <col min="16148" max="16148" width="23.42578125" style="12" hidden="1"/>
    <col min="16149" max="16149" width="15.42578125" style="12" hidden="1"/>
    <col min="16150" max="16150" width="15.85546875" style="12" hidden="1"/>
    <col min="16151" max="16151" width="13.42578125" style="12" hidden="1"/>
    <col min="16152" max="16152" width="12.85546875" style="12" hidden="1"/>
    <col min="16153" max="16153" width="13.42578125" style="12" hidden="1"/>
    <col min="16154" max="16154" width="16" style="12" hidden="1"/>
    <col min="16155" max="16155" width="12.28515625" style="12" hidden="1"/>
    <col min="16156" max="16156" width="17.28515625" style="12" hidden="1"/>
    <col min="16157" max="16157" width="16.28515625" style="12" hidden="1"/>
    <col min="16158" max="16158" width="22.5703125" style="12" hidden="1"/>
    <col min="16159" max="16159" width="21.140625" style="12" hidden="1"/>
    <col min="16160" max="16160" width="23.42578125" style="12" hidden="1"/>
    <col min="16161" max="16161" width="22.5703125" style="12" hidden="1"/>
    <col min="16162" max="16162" width="21.140625" style="12" hidden="1"/>
    <col min="16163" max="16163" width="23.42578125" style="12" hidden="1"/>
    <col min="16164" max="16384" width="10.85546875" style="12" hidden="1"/>
  </cols>
  <sheetData>
    <row r="1" spans="1:19" ht="13.5" customHeight="1" x14ac:dyDescent="0.2">
      <c r="A1" s="268"/>
      <c r="B1" s="268"/>
      <c r="C1" s="268"/>
      <c r="D1" s="268"/>
      <c r="E1" s="269" t="s">
        <v>0</v>
      </c>
      <c r="F1" s="270"/>
      <c r="G1" s="270"/>
      <c r="H1" s="270"/>
      <c r="I1" s="270"/>
      <c r="J1" s="270"/>
      <c r="K1" s="270"/>
      <c r="L1" s="270"/>
      <c r="M1" s="270"/>
      <c r="N1" s="270"/>
      <c r="O1" s="270"/>
      <c r="P1" s="270"/>
      <c r="Q1" s="270"/>
      <c r="R1" s="270"/>
      <c r="S1" s="271"/>
    </row>
    <row r="2" spans="1:19" ht="13.5" customHeight="1" x14ac:dyDescent="0.2">
      <c r="A2" s="268"/>
      <c r="B2" s="268"/>
      <c r="C2" s="268"/>
      <c r="D2" s="268"/>
      <c r="E2" s="272"/>
      <c r="F2" s="273"/>
      <c r="G2" s="273"/>
      <c r="H2" s="273"/>
      <c r="I2" s="273"/>
      <c r="J2" s="273"/>
      <c r="K2" s="273"/>
      <c r="L2" s="273"/>
      <c r="M2" s="273"/>
      <c r="N2" s="273"/>
      <c r="O2" s="273"/>
      <c r="P2" s="273"/>
      <c r="Q2" s="273"/>
      <c r="R2" s="273"/>
      <c r="S2" s="274"/>
    </row>
    <row r="3" spans="1:19" ht="13.5" customHeight="1" x14ac:dyDescent="0.2">
      <c r="A3" s="268"/>
      <c r="B3" s="268"/>
      <c r="C3" s="268"/>
      <c r="D3" s="268"/>
      <c r="E3" s="275"/>
      <c r="F3" s="276"/>
      <c r="G3" s="276"/>
      <c r="H3" s="276"/>
      <c r="I3" s="276"/>
      <c r="J3" s="276"/>
      <c r="K3" s="276"/>
      <c r="L3" s="276"/>
      <c r="M3" s="276"/>
      <c r="N3" s="276"/>
      <c r="O3" s="276"/>
      <c r="P3" s="276"/>
      <c r="Q3" s="276"/>
      <c r="R3" s="276"/>
      <c r="S3" s="277"/>
    </row>
    <row r="4" spans="1:19" ht="15.75" customHeight="1" x14ac:dyDescent="0.2">
      <c r="A4" s="279" t="s">
        <v>75</v>
      </c>
      <c r="B4" s="279"/>
      <c r="C4" s="279"/>
      <c r="D4" s="279"/>
      <c r="E4" s="279"/>
      <c r="F4" s="279"/>
      <c r="G4" s="279"/>
      <c r="H4" s="279"/>
      <c r="I4" s="279"/>
      <c r="J4" s="279"/>
      <c r="K4" s="279"/>
      <c r="L4" s="279"/>
      <c r="M4" s="279"/>
      <c r="N4" s="279"/>
      <c r="O4" s="279"/>
      <c r="P4" s="279"/>
      <c r="Q4" s="279"/>
      <c r="R4" s="279"/>
      <c r="S4" s="279"/>
    </row>
    <row r="5" spans="1:19" ht="15" customHeight="1" x14ac:dyDescent="0.2">
      <c r="A5" s="279" t="s">
        <v>108</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x14ac:dyDescent="0.2">
      <c r="A7" s="265"/>
      <c r="B7" s="266"/>
      <c r="C7" s="266"/>
      <c r="D7" s="266"/>
      <c r="E7" s="266"/>
      <c r="F7" s="266"/>
      <c r="G7" s="266"/>
      <c r="H7" s="266"/>
      <c r="I7" s="266"/>
      <c r="J7" s="266"/>
      <c r="K7" s="266"/>
      <c r="L7" s="266"/>
      <c r="M7" s="266"/>
      <c r="N7" s="266"/>
      <c r="O7" s="266"/>
      <c r="P7" s="266"/>
      <c r="Q7" s="266"/>
      <c r="R7" s="266"/>
      <c r="S7" s="267"/>
    </row>
    <row r="8" spans="1:19" x14ac:dyDescent="0.2">
      <c r="A8" s="278" t="s">
        <v>2</v>
      </c>
      <c r="B8" s="278"/>
      <c r="C8" s="278"/>
      <c r="D8" s="278"/>
      <c r="E8" s="278"/>
      <c r="F8" s="278"/>
      <c r="G8" s="278"/>
      <c r="H8" s="278"/>
      <c r="I8" s="278"/>
      <c r="J8" s="278"/>
      <c r="K8" s="278"/>
      <c r="L8" s="278"/>
      <c r="M8" s="278"/>
      <c r="N8" s="278"/>
      <c r="O8" s="235"/>
      <c r="P8" s="117"/>
      <c r="Q8" s="117"/>
      <c r="R8" s="117"/>
      <c r="S8" s="234"/>
    </row>
    <row r="9" spans="1:19" ht="12.75" customHeight="1" x14ac:dyDescent="0.2">
      <c r="A9" s="288" t="s">
        <v>132</v>
      </c>
      <c r="B9" s="288" t="s">
        <v>430</v>
      </c>
      <c r="C9" s="286" t="s">
        <v>4</v>
      </c>
      <c r="D9" s="288" t="s">
        <v>5</v>
      </c>
      <c r="E9" s="288"/>
      <c r="F9" s="286" t="s">
        <v>4</v>
      </c>
      <c r="G9" s="288" t="s">
        <v>6</v>
      </c>
      <c r="H9" s="314" t="s">
        <v>41</v>
      </c>
      <c r="I9" s="314"/>
      <c r="J9" s="314"/>
      <c r="K9" s="314"/>
      <c r="L9" s="314"/>
      <c r="M9" s="314"/>
      <c r="N9" s="286" t="s">
        <v>4</v>
      </c>
      <c r="O9" s="290" t="s">
        <v>531</v>
      </c>
      <c r="P9" s="286" t="s">
        <v>8</v>
      </c>
      <c r="Q9" s="286" t="s">
        <v>9</v>
      </c>
      <c r="R9" s="286" t="s">
        <v>10</v>
      </c>
      <c r="S9" s="290" t="s">
        <v>535</v>
      </c>
    </row>
    <row r="10" spans="1:19" ht="51" customHeight="1" x14ac:dyDescent="0.2">
      <c r="A10" s="288"/>
      <c r="B10" s="288"/>
      <c r="C10" s="286"/>
      <c r="D10" s="288"/>
      <c r="E10" s="288"/>
      <c r="F10" s="286"/>
      <c r="G10" s="288"/>
      <c r="H10" s="40" t="s">
        <v>43</v>
      </c>
      <c r="I10" s="124" t="s">
        <v>42</v>
      </c>
      <c r="J10" s="124" t="s">
        <v>47</v>
      </c>
      <c r="K10" s="40" t="s">
        <v>31</v>
      </c>
      <c r="L10" s="124" t="s">
        <v>48</v>
      </c>
      <c r="M10" s="160" t="s">
        <v>77</v>
      </c>
      <c r="N10" s="286"/>
      <c r="O10" s="291"/>
      <c r="P10" s="286"/>
      <c r="Q10" s="286"/>
      <c r="R10" s="293"/>
      <c r="S10" s="291"/>
    </row>
    <row r="11" spans="1:19" s="39" customFormat="1" ht="15" customHeight="1" x14ac:dyDescent="0.2">
      <c r="A11" s="407" t="s">
        <v>148</v>
      </c>
      <c r="B11" s="408"/>
      <c r="C11" s="408"/>
      <c r="D11" s="408"/>
      <c r="E11" s="408"/>
      <c r="F11" s="408"/>
      <c r="G11" s="409"/>
      <c r="H11" s="287" t="s">
        <v>139</v>
      </c>
      <c r="I11" s="287" t="s">
        <v>399</v>
      </c>
      <c r="J11" s="287" t="s">
        <v>32</v>
      </c>
      <c r="K11" s="287" t="s">
        <v>140</v>
      </c>
      <c r="L11" s="287" t="s">
        <v>63</v>
      </c>
      <c r="M11" s="317">
        <v>580000</v>
      </c>
      <c r="N11" s="294">
        <v>7.0000000000000007E-2</v>
      </c>
      <c r="O11" s="400">
        <v>811000</v>
      </c>
      <c r="P11" s="294">
        <f>SUM(O11)/M11</f>
        <v>1.3982758620689655</v>
      </c>
      <c r="Q11" s="299">
        <f>IF(P11&lt;=100%,P11*N11,N11)</f>
        <v>7.0000000000000007E-2</v>
      </c>
      <c r="R11" s="285">
        <f>((SUM(Q11:Q15))/31.67)*100</f>
        <v>0.63151247237132935</v>
      </c>
      <c r="S11" s="404" t="s">
        <v>493</v>
      </c>
    </row>
    <row r="12" spans="1:19" ht="68.25" customHeight="1" x14ac:dyDescent="0.2">
      <c r="A12" s="287" t="str">
        <f>'Plan de desarrollo'!B4</f>
        <v>DIMENSIÓN 1: Creemos en la cultura ciudadana</v>
      </c>
      <c r="B12" s="287" t="str">
        <f>'Objetivos Estratégicos'!B3</f>
        <v xml:space="preserve">Elevar el nivel de competitividad y posicionamiento del Canal como plataforma de contenidos formativos, Informativos y culturales. </v>
      </c>
      <c r="C12" s="316">
        <f>+SUM(F12:F15)</f>
        <v>0.2</v>
      </c>
      <c r="D12" s="287" t="s">
        <v>138</v>
      </c>
      <c r="E12" s="287"/>
      <c r="F12" s="299">
        <f>+SUM(N11:N15)</f>
        <v>0.2</v>
      </c>
      <c r="G12" s="287" t="s">
        <v>264</v>
      </c>
      <c r="H12" s="287"/>
      <c r="I12" s="287"/>
      <c r="J12" s="287"/>
      <c r="K12" s="287"/>
      <c r="L12" s="287"/>
      <c r="M12" s="317"/>
      <c r="N12" s="294"/>
      <c r="O12" s="401"/>
      <c r="P12" s="294"/>
      <c r="Q12" s="301"/>
      <c r="R12" s="285"/>
      <c r="S12" s="405"/>
    </row>
    <row r="13" spans="1:19" ht="107.25" customHeight="1" x14ac:dyDescent="0.2">
      <c r="A13" s="287"/>
      <c r="B13" s="287"/>
      <c r="C13" s="406"/>
      <c r="D13" s="287"/>
      <c r="E13" s="287"/>
      <c r="F13" s="300"/>
      <c r="G13" s="287"/>
      <c r="H13" s="113" t="s">
        <v>141</v>
      </c>
      <c r="I13" s="168" t="s">
        <v>400</v>
      </c>
      <c r="J13" s="113" t="s">
        <v>32</v>
      </c>
      <c r="K13" s="113" t="s">
        <v>142</v>
      </c>
      <c r="L13" s="113" t="s">
        <v>63</v>
      </c>
      <c r="M13" s="161">
        <v>110000</v>
      </c>
      <c r="N13" s="115">
        <v>7.0000000000000007E-2</v>
      </c>
      <c r="O13" s="254">
        <v>122700</v>
      </c>
      <c r="P13" s="115">
        <f>+O13/M13</f>
        <v>1.1154545454545455</v>
      </c>
      <c r="Q13" s="115">
        <f>IF(P13&lt;=100%,P13*N13,N13)</f>
        <v>7.0000000000000007E-2</v>
      </c>
      <c r="R13" s="285"/>
      <c r="S13" s="162" t="s">
        <v>510</v>
      </c>
    </row>
    <row r="14" spans="1:19" ht="64.5" customHeight="1" x14ac:dyDescent="0.2">
      <c r="A14" s="287"/>
      <c r="B14" s="287"/>
      <c r="C14" s="406"/>
      <c r="D14" s="287"/>
      <c r="E14" s="287"/>
      <c r="F14" s="300"/>
      <c r="G14" s="287"/>
      <c r="H14" s="113" t="s">
        <v>143</v>
      </c>
      <c r="I14" s="168" t="s">
        <v>147</v>
      </c>
      <c r="J14" s="113" t="s">
        <v>32</v>
      </c>
      <c r="K14" s="113" t="s">
        <v>144</v>
      </c>
      <c r="L14" s="113" t="s">
        <v>63</v>
      </c>
      <c r="M14" s="161">
        <v>10</v>
      </c>
      <c r="N14" s="115">
        <v>0.03</v>
      </c>
      <c r="O14" s="255">
        <v>10</v>
      </c>
      <c r="P14" s="236">
        <f>+O14/M14</f>
        <v>1</v>
      </c>
      <c r="Q14" s="174">
        <f>IF(P14&lt;=100%,P14*N14,N14)</f>
        <v>0.03</v>
      </c>
      <c r="R14" s="285"/>
      <c r="S14" s="162" t="s">
        <v>495</v>
      </c>
    </row>
    <row r="15" spans="1:19" ht="90" customHeight="1" x14ac:dyDescent="0.2">
      <c r="A15" s="287"/>
      <c r="B15" s="287"/>
      <c r="C15" s="406"/>
      <c r="D15" s="287"/>
      <c r="E15" s="287"/>
      <c r="F15" s="301"/>
      <c r="G15" s="287"/>
      <c r="H15" s="113" t="s">
        <v>145</v>
      </c>
      <c r="I15" s="168" t="s">
        <v>401</v>
      </c>
      <c r="J15" s="113" t="s">
        <v>32</v>
      </c>
      <c r="K15" s="113" t="s">
        <v>146</v>
      </c>
      <c r="L15" s="113" t="s">
        <v>63</v>
      </c>
      <c r="M15" s="161">
        <v>15</v>
      </c>
      <c r="N15" s="115">
        <v>0.03</v>
      </c>
      <c r="O15" s="255">
        <v>10</v>
      </c>
      <c r="P15" s="159">
        <f>IF(O15&lt;&gt;"",IF(O15&lt;=15,100%,0%),0%)</f>
        <v>1</v>
      </c>
      <c r="Q15" s="174">
        <f>IF(P15&lt;=100%,P15*N15,N15)</f>
        <v>0.03</v>
      </c>
      <c r="R15" s="285"/>
      <c r="S15" s="162" t="s">
        <v>494</v>
      </c>
    </row>
    <row r="16" spans="1:19" ht="15" customHeight="1" x14ac:dyDescent="0.2">
      <c r="A16" s="410" t="s">
        <v>443</v>
      </c>
      <c r="B16" s="411"/>
      <c r="C16" s="411"/>
      <c r="D16" s="411"/>
      <c r="E16" s="411"/>
      <c r="F16" s="411"/>
      <c r="G16" s="412"/>
      <c r="H16" s="287" t="s">
        <v>207</v>
      </c>
      <c r="I16" s="287" t="s">
        <v>208</v>
      </c>
      <c r="J16" s="287" t="s">
        <v>32</v>
      </c>
      <c r="K16" s="287" t="s">
        <v>210</v>
      </c>
      <c r="L16" s="287" t="s">
        <v>30</v>
      </c>
      <c r="M16" s="298">
        <v>30</v>
      </c>
      <c r="N16" s="285">
        <v>0.02</v>
      </c>
      <c r="O16" s="324">
        <v>70</v>
      </c>
      <c r="P16" s="294">
        <f>+IF((MIN(O16:O16)&lt;=M16),100%,M16/((MIN(O16:O16))))</f>
        <v>0.42857142857142855</v>
      </c>
      <c r="Q16" s="299">
        <f>IF(P16&lt;=100%,P16*N16,N16)</f>
        <v>8.5714285714285719E-3</v>
      </c>
      <c r="R16" s="308">
        <f>((SUM(Q16:Q21))/31.67)*100</f>
        <v>0.1426222051814095</v>
      </c>
      <c r="S16" s="295" t="s">
        <v>499</v>
      </c>
    </row>
    <row r="17" spans="1:19" ht="135.75" customHeight="1" x14ac:dyDescent="0.2">
      <c r="A17" s="302" t="str">
        <f>'Plan de desarrollo'!B4</f>
        <v>DIMENSIÓN 1: Creemos en la cultura ciudadana</v>
      </c>
      <c r="B17" s="303" t="str">
        <f>+'Objetivos Estratégicos'!B3</f>
        <v xml:space="preserve">Elevar el nivel de competitividad y posicionamiento del Canal como plataforma de contenidos formativos, Informativos y culturales. </v>
      </c>
      <c r="C17" s="299">
        <f>+F17</f>
        <v>7.0000000000000007E-2</v>
      </c>
      <c r="D17" s="287" t="s">
        <v>205</v>
      </c>
      <c r="E17" s="287"/>
      <c r="F17" s="299">
        <f>+SUM(N16:N21)</f>
        <v>7.0000000000000007E-2</v>
      </c>
      <c r="G17" s="287" t="s">
        <v>264</v>
      </c>
      <c r="H17" s="293"/>
      <c r="I17" s="293"/>
      <c r="J17" s="293"/>
      <c r="K17" s="293"/>
      <c r="L17" s="293"/>
      <c r="M17" s="372"/>
      <c r="N17" s="417"/>
      <c r="O17" s="325"/>
      <c r="P17" s="294"/>
      <c r="Q17" s="301"/>
      <c r="R17" s="416"/>
      <c r="S17" s="413"/>
    </row>
    <row r="18" spans="1:19" ht="126" customHeight="1" x14ac:dyDescent="0.2">
      <c r="A18" s="302"/>
      <c r="B18" s="303"/>
      <c r="C18" s="414"/>
      <c r="D18" s="287"/>
      <c r="E18" s="287"/>
      <c r="F18" s="300"/>
      <c r="G18" s="287"/>
      <c r="H18" s="180" t="s">
        <v>206</v>
      </c>
      <c r="I18" s="180" t="s">
        <v>209</v>
      </c>
      <c r="J18" s="185" t="s">
        <v>32</v>
      </c>
      <c r="K18" s="180" t="s">
        <v>211</v>
      </c>
      <c r="L18" s="185" t="s">
        <v>30</v>
      </c>
      <c r="M18" s="186">
        <v>70</v>
      </c>
      <c r="N18" s="146">
        <v>0.02</v>
      </c>
      <c r="O18" s="238">
        <v>50</v>
      </c>
      <c r="P18" s="115">
        <f>SUM(O18)/M18</f>
        <v>0.7142857142857143</v>
      </c>
      <c r="Q18" s="115">
        <f>IF(P18&lt;=100%,P18*N18,N18)</f>
        <v>1.4285714285714287E-2</v>
      </c>
      <c r="R18" s="416"/>
      <c r="S18" s="199" t="s">
        <v>551</v>
      </c>
    </row>
    <row r="19" spans="1:19" ht="142.5" customHeight="1" x14ac:dyDescent="0.2">
      <c r="A19" s="302"/>
      <c r="B19" s="303"/>
      <c r="C19" s="414"/>
      <c r="D19" s="287"/>
      <c r="E19" s="287"/>
      <c r="F19" s="300"/>
      <c r="G19" s="287"/>
      <c r="H19" s="180" t="s">
        <v>214</v>
      </c>
      <c r="I19" s="180" t="s">
        <v>425</v>
      </c>
      <c r="J19" s="185" t="s">
        <v>35</v>
      </c>
      <c r="K19" s="180" t="s">
        <v>398</v>
      </c>
      <c r="L19" s="185" t="s">
        <v>63</v>
      </c>
      <c r="M19" s="185">
        <v>1</v>
      </c>
      <c r="N19" s="146">
        <v>0.01</v>
      </c>
      <c r="O19" s="238">
        <v>1</v>
      </c>
      <c r="P19" s="115">
        <f>IF(SUM(O19)&gt;=1,100%,0%)</f>
        <v>1</v>
      </c>
      <c r="Q19" s="115">
        <f>IF(P19&lt;=100%,P19*N19,N19)</f>
        <v>0.01</v>
      </c>
      <c r="R19" s="416"/>
      <c r="S19" s="199" t="s">
        <v>552</v>
      </c>
    </row>
    <row r="20" spans="1:19" ht="141" customHeight="1" x14ac:dyDescent="0.2">
      <c r="A20" s="302"/>
      <c r="B20" s="303"/>
      <c r="C20" s="414"/>
      <c r="D20" s="287"/>
      <c r="E20" s="287"/>
      <c r="F20" s="300"/>
      <c r="G20" s="287"/>
      <c r="H20" s="180" t="s">
        <v>212</v>
      </c>
      <c r="I20" s="180" t="s">
        <v>215</v>
      </c>
      <c r="J20" s="185" t="s">
        <v>32</v>
      </c>
      <c r="K20" s="180" t="s">
        <v>217</v>
      </c>
      <c r="L20" s="185" t="s">
        <v>30</v>
      </c>
      <c r="M20" s="185">
        <v>8400</v>
      </c>
      <c r="N20" s="146">
        <v>0.01</v>
      </c>
      <c r="O20" s="238">
        <v>6860</v>
      </c>
      <c r="P20" s="115">
        <f>SUM(O20)/M20</f>
        <v>0.81666666666666665</v>
      </c>
      <c r="Q20" s="115">
        <f>IF(P20&lt;=100%,P20*N20,N20)</f>
        <v>8.1666666666666658E-3</v>
      </c>
      <c r="R20" s="416"/>
      <c r="S20" s="199" t="s">
        <v>500</v>
      </c>
    </row>
    <row r="21" spans="1:19" ht="78.75" customHeight="1" x14ac:dyDescent="0.2">
      <c r="A21" s="302"/>
      <c r="B21" s="303"/>
      <c r="C21" s="415"/>
      <c r="D21" s="287"/>
      <c r="E21" s="287"/>
      <c r="F21" s="301"/>
      <c r="G21" s="287"/>
      <c r="H21" s="180" t="s">
        <v>213</v>
      </c>
      <c r="I21" s="180" t="s">
        <v>216</v>
      </c>
      <c r="J21" s="185" t="s">
        <v>32</v>
      </c>
      <c r="K21" s="180" t="s">
        <v>218</v>
      </c>
      <c r="L21" s="185" t="s">
        <v>30</v>
      </c>
      <c r="M21" s="185">
        <v>1400</v>
      </c>
      <c r="N21" s="146">
        <v>0.01</v>
      </c>
      <c r="O21" s="250">
        <v>580.25</v>
      </c>
      <c r="P21" s="115">
        <f>O21/M21</f>
        <v>0.41446428571428573</v>
      </c>
      <c r="Q21" s="115">
        <f>IF(P21&lt;=100%,P21*N21,N21)</f>
        <v>4.1446428571428572E-3</v>
      </c>
      <c r="R21" s="309"/>
      <c r="S21" s="199" t="s">
        <v>553</v>
      </c>
    </row>
    <row r="22" spans="1:19" ht="15" customHeight="1" x14ac:dyDescent="0.2">
      <c r="A22" s="410" t="s">
        <v>226</v>
      </c>
      <c r="B22" s="411"/>
      <c r="C22" s="411"/>
      <c r="D22" s="411"/>
      <c r="E22" s="411"/>
      <c r="F22" s="411"/>
      <c r="G22" s="412"/>
      <c r="H22" s="287" t="s">
        <v>232</v>
      </c>
      <c r="I22" s="283" t="s">
        <v>233</v>
      </c>
      <c r="J22" s="360" t="s">
        <v>32</v>
      </c>
      <c r="K22" s="283" t="s">
        <v>234</v>
      </c>
      <c r="L22" s="360" t="s">
        <v>30</v>
      </c>
      <c r="M22" s="423">
        <v>611227</v>
      </c>
      <c r="N22" s="285">
        <v>0.01</v>
      </c>
      <c r="O22" s="402">
        <v>2524200</v>
      </c>
      <c r="P22" s="299">
        <f>O22/M22</f>
        <v>4.1297259446981238</v>
      </c>
      <c r="Q22" s="299">
        <f>IF(P22&lt;=100%,P22*N22,N22)</f>
        <v>0.01</v>
      </c>
      <c r="R22" s="308">
        <f>((SUM(Q22:Q27))/31.67)*100</f>
        <v>6.3151247237132932E-2</v>
      </c>
      <c r="S22" s="295" t="s">
        <v>501</v>
      </c>
    </row>
    <row r="23" spans="1:19" ht="67.5" customHeight="1" x14ac:dyDescent="0.2">
      <c r="A23" s="283" t="str">
        <f>'Plan de desarrollo'!B4</f>
        <v>DIMENSIÓN 1: Creemos en la cultura ciudadana</v>
      </c>
      <c r="B23" s="320" t="str">
        <f>+'Objetivos Estratégicos'!B4</f>
        <v xml:space="preserve">Elevar la capacidad de innovación, calidad técnica y audiovisual en la producción, programación y distribución de los contenidos a través de las distintas plataformas. </v>
      </c>
      <c r="C23" s="299">
        <f>+F23</f>
        <v>0.02</v>
      </c>
      <c r="D23" s="329" t="s">
        <v>231</v>
      </c>
      <c r="E23" s="330"/>
      <c r="F23" s="299">
        <f>+SUM(N22:N27)</f>
        <v>0.02</v>
      </c>
      <c r="G23" s="324" t="s">
        <v>76</v>
      </c>
      <c r="H23" s="418"/>
      <c r="I23" s="284"/>
      <c r="J23" s="361"/>
      <c r="K23" s="284"/>
      <c r="L23" s="361"/>
      <c r="M23" s="424"/>
      <c r="N23" s="417"/>
      <c r="O23" s="403"/>
      <c r="P23" s="301"/>
      <c r="Q23" s="301"/>
      <c r="R23" s="416"/>
      <c r="S23" s="413"/>
    </row>
    <row r="24" spans="1:19" ht="137.25" customHeight="1" x14ac:dyDescent="0.2">
      <c r="A24" s="333"/>
      <c r="B24" s="321"/>
      <c r="C24" s="300"/>
      <c r="D24" s="419"/>
      <c r="E24" s="420"/>
      <c r="F24" s="300"/>
      <c r="G24" s="341"/>
      <c r="H24" s="180" t="s">
        <v>235</v>
      </c>
      <c r="I24" s="180" t="s">
        <v>236</v>
      </c>
      <c r="J24" s="185" t="s">
        <v>32</v>
      </c>
      <c r="K24" s="180" t="s">
        <v>237</v>
      </c>
      <c r="L24" s="185" t="s">
        <v>30</v>
      </c>
      <c r="M24" s="187">
        <v>5600000</v>
      </c>
      <c r="N24" s="118">
        <v>2.5000000000000001E-3</v>
      </c>
      <c r="O24" s="248">
        <v>10991435</v>
      </c>
      <c r="P24" s="119">
        <f>O24/M24</f>
        <v>1.96275625</v>
      </c>
      <c r="Q24" s="115">
        <f>IF(P24&lt;=100%,P24*N24,N24)</f>
        <v>2.5000000000000001E-3</v>
      </c>
      <c r="R24" s="416"/>
      <c r="S24" s="199" t="s">
        <v>502</v>
      </c>
    </row>
    <row r="25" spans="1:19" ht="81" customHeight="1" x14ac:dyDescent="0.2">
      <c r="A25" s="333"/>
      <c r="B25" s="321"/>
      <c r="C25" s="300"/>
      <c r="D25" s="419"/>
      <c r="E25" s="420"/>
      <c r="F25" s="300"/>
      <c r="G25" s="341"/>
      <c r="H25" s="180" t="s">
        <v>238</v>
      </c>
      <c r="I25" s="180" t="s">
        <v>239</v>
      </c>
      <c r="J25" s="185" t="s">
        <v>32</v>
      </c>
      <c r="K25" s="180" t="s">
        <v>240</v>
      </c>
      <c r="L25" s="185" t="s">
        <v>30</v>
      </c>
      <c r="M25" s="187">
        <v>560000</v>
      </c>
      <c r="N25" s="118">
        <v>2.5000000000000001E-3</v>
      </c>
      <c r="O25" s="256">
        <v>2344574</v>
      </c>
      <c r="P25" s="119">
        <f>O25/M25</f>
        <v>4.1867392857142853</v>
      </c>
      <c r="Q25" s="115">
        <f>IF(P25&lt;=100%,P25*N25,N25)</f>
        <v>2.5000000000000001E-3</v>
      </c>
      <c r="R25" s="416"/>
      <c r="S25" s="199" t="s">
        <v>554</v>
      </c>
    </row>
    <row r="26" spans="1:19" ht="69.75" customHeight="1" x14ac:dyDescent="0.2">
      <c r="A26" s="333"/>
      <c r="B26" s="321"/>
      <c r="C26" s="300"/>
      <c r="D26" s="419"/>
      <c r="E26" s="420"/>
      <c r="F26" s="300"/>
      <c r="G26" s="341"/>
      <c r="H26" s="180" t="s">
        <v>241</v>
      </c>
      <c r="I26" s="180" t="s">
        <v>242</v>
      </c>
      <c r="J26" s="185" t="s">
        <v>32</v>
      </c>
      <c r="K26" s="180" t="s">
        <v>243</v>
      </c>
      <c r="L26" s="185" t="s">
        <v>30</v>
      </c>
      <c r="M26" s="187">
        <v>303000</v>
      </c>
      <c r="N26" s="118">
        <v>2.5000000000000001E-3</v>
      </c>
      <c r="O26" s="256">
        <v>1120878</v>
      </c>
      <c r="P26" s="237">
        <f>O26/M26</f>
        <v>3.6992673267326732</v>
      </c>
      <c r="Q26" s="115">
        <f>IF(P26&lt;=100%,P26*N26,N26)</f>
        <v>2.5000000000000001E-3</v>
      </c>
      <c r="R26" s="416"/>
      <c r="S26" s="245" t="s">
        <v>555</v>
      </c>
    </row>
    <row r="27" spans="1:19" ht="89.25" customHeight="1" x14ac:dyDescent="0.2">
      <c r="A27" s="284"/>
      <c r="B27" s="322"/>
      <c r="C27" s="301"/>
      <c r="D27" s="421"/>
      <c r="E27" s="422"/>
      <c r="F27" s="301"/>
      <c r="G27" s="325"/>
      <c r="H27" s="180" t="s">
        <v>244</v>
      </c>
      <c r="I27" s="180" t="s">
        <v>245</v>
      </c>
      <c r="J27" s="185" t="s">
        <v>32</v>
      </c>
      <c r="K27" s="180" t="s">
        <v>246</v>
      </c>
      <c r="L27" s="185" t="s">
        <v>30</v>
      </c>
      <c r="M27" s="187">
        <v>43000</v>
      </c>
      <c r="N27" s="118">
        <v>2.5000000000000001E-3</v>
      </c>
      <c r="O27" s="256">
        <v>98605</v>
      </c>
      <c r="P27" s="237">
        <f>O27/M27</f>
        <v>2.2931395348837209</v>
      </c>
      <c r="Q27" s="115">
        <f>IF(P27&lt;=100%,P27*N27,N27)</f>
        <v>2.5000000000000001E-3</v>
      </c>
      <c r="R27" s="309"/>
      <c r="S27" s="199" t="s">
        <v>556</v>
      </c>
    </row>
    <row r="28" spans="1:19" s="1" customFormat="1" ht="14.25" customHeight="1" x14ac:dyDescent="0.2">
      <c r="A28" s="292" t="s">
        <v>255</v>
      </c>
      <c r="B28" s="292"/>
      <c r="C28" s="292"/>
      <c r="D28" s="292"/>
      <c r="E28" s="292"/>
      <c r="F28" s="292"/>
      <c r="G28" s="292"/>
      <c r="H28" s="287" t="s">
        <v>257</v>
      </c>
      <c r="I28" s="287" t="s">
        <v>265</v>
      </c>
      <c r="J28" s="287" t="s">
        <v>49</v>
      </c>
      <c r="K28" s="287" t="s">
        <v>257</v>
      </c>
      <c r="L28" s="287" t="s">
        <v>30</v>
      </c>
      <c r="M28" s="355">
        <v>100000000</v>
      </c>
      <c r="N28" s="294">
        <v>5.0000000000000001E-3</v>
      </c>
      <c r="O28" s="402">
        <v>338190577</v>
      </c>
      <c r="P28" s="299">
        <f>O28/M28</f>
        <v>3.3819057699999999</v>
      </c>
      <c r="Q28" s="345">
        <f>IF(P28&lt;=100%,P28*N28,N28)</f>
        <v>5.0000000000000001E-3</v>
      </c>
      <c r="R28" s="308">
        <f>((SUM(Q28:Q36))/31.67)*100</f>
        <v>4.559520050520998E-2</v>
      </c>
      <c r="S28" s="425" t="s">
        <v>557</v>
      </c>
    </row>
    <row r="29" spans="1:19" s="1" customFormat="1" ht="93.75" customHeight="1" x14ac:dyDescent="0.2">
      <c r="A29" s="312" t="str">
        <f>'Plan de desarrollo'!B4</f>
        <v>DIMENSIÓN 1: Creemos en la cultura ciudadana</v>
      </c>
      <c r="B29" s="320" t="str">
        <f>'Objetivos Estratégicos'!B5</f>
        <v xml:space="preserve">Realizar alianzas estratégicas con la Alcaldía y sus entes descentralizados para temas de comunicación a través de la Agencia y Central de Medios de Telemedellín. </v>
      </c>
      <c r="C29" s="318">
        <f>+F29</f>
        <v>1.6660000000000001E-2</v>
      </c>
      <c r="D29" s="287" t="s">
        <v>262</v>
      </c>
      <c r="E29" s="287"/>
      <c r="F29" s="299">
        <f>+SUM(N28:N36)</f>
        <v>1.6660000000000001E-2</v>
      </c>
      <c r="G29" s="113" t="s">
        <v>264</v>
      </c>
      <c r="H29" s="418"/>
      <c r="I29" s="418"/>
      <c r="J29" s="418"/>
      <c r="K29" s="418"/>
      <c r="L29" s="418"/>
      <c r="M29" s="356"/>
      <c r="N29" s="293"/>
      <c r="O29" s="403"/>
      <c r="P29" s="301"/>
      <c r="Q29" s="346"/>
      <c r="R29" s="416"/>
      <c r="S29" s="426"/>
    </row>
    <row r="30" spans="1:19" s="1" customFormat="1" ht="102" customHeight="1" x14ac:dyDescent="0.2">
      <c r="A30" s="351"/>
      <c r="B30" s="321"/>
      <c r="C30" s="427"/>
      <c r="D30" s="329" t="s">
        <v>263</v>
      </c>
      <c r="E30" s="330"/>
      <c r="F30" s="300"/>
      <c r="G30" s="123" t="s">
        <v>264</v>
      </c>
      <c r="H30" s="181" t="s">
        <v>260</v>
      </c>
      <c r="I30" s="181" t="s">
        <v>266</v>
      </c>
      <c r="J30" s="181" t="s">
        <v>49</v>
      </c>
      <c r="K30" s="181" t="s">
        <v>260</v>
      </c>
      <c r="L30" s="181" t="s">
        <v>30</v>
      </c>
      <c r="M30" s="84">
        <v>120000000</v>
      </c>
      <c r="N30" s="119">
        <v>5.0000000000000001E-3</v>
      </c>
      <c r="O30" s="256">
        <v>615554869</v>
      </c>
      <c r="P30" s="237">
        <f t="shared" ref="P30:P37" si="0">O30/M30</f>
        <v>5.1296239083333335</v>
      </c>
      <c r="Q30" s="119">
        <f t="shared" ref="Q30:Q37" si="1">IF(P30&lt;=100%,P30*N30,N30)</f>
        <v>5.0000000000000001E-3</v>
      </c>
      <c r="R30" s="416"/>
      <c r="S30" s="200" t="s">
        <v>496</v>
      </c>
    </row>
    <row r="31" spans="1:19" ht="89.25" x14ac:dyDescent="0.2">
      <c r="A31" s="351"/>
      <c r="B31" s="321"/>
      <c r="C31" s="427"/>
      <c r="D31" s="329" t="s">
        <v>272</v>
      </c>
      <c r="E31" s="330"/>
      <c r="F31" s="300"/>
      <c r="G31" s="123" t="s">
        <v>264</v>
      </c>
      <c r="H31" s="181" t="s">
        <v>274</v>
      </c>
      <c r="I31" s="181" t="s">
        <v>278</v>
      </c>
      <c r="J31" s="181" t="s">
        <v>35</v>
      </c>
      <c r="K31" s="181" t="s">
        <v>363</v>
      </c>
      <c r="L31" s="181" t="s">
        <v>30</v>
      </c>
      <c r="M31" s="182">
        <v>1</v>
      </c>
      <c r="N31" s="125">
        <v>1.1100000000000001E-3</v>
      </c>
      <c r="O31" s="239">
        <v>1</v>
      </c>
      <c r="P31" s="237">
        <f t="shared" si="0"/>
        <v>1</v>
      </c>
      <c r="Q31" s="119">
        <f t="shared" si="1"/>
        <v>1.1100000000000001E-3</v>
      </c>
      <c r="R31" s="416"/>
      <c r="S31" s="198" t="s">
        <v>503</v>
      </c>
    </row>
    <row r="32" spans="1:19" ht="89.25" x14ac:dyDescent="0.2">
      <c r="A32" s="351"/>
      <c r="B32" s="321"/>
      <c r="C32" s="427"/>
      <c r="D32" s="329" t="s">
        <v>273</v>
      </c>
      <c r="E32" s="330"/>
      <c r="F32" s="300"/>
      <c r="G32" s="123" t="s">
        <v>264</v>
      </c>
      <c r="H32" s="181" t="s">
        <v>275</v>
      </c>
      <c r="I32" s="181" t="s">
        <v>279</v>
      </c>
      <c r="J32" s="181" t="s">
        <v>35</v>
      </c>
      <c r="K32" s="181" t="s">
        <v>364</v>
      </c>
      <c r="L32" s="181" t="s">
        <v>30</v>
      </c>
      <c r="M32" s="183">
        <v>1</v>
      </c>
      <c r="N32" s="125">
        <v>1.1100000000000001E-3</v>
      </c>
      <c r="O32" s="247">
        <v>1</v>
      </c>
      <c r="P32" s="237">
        <f t="shared" si="0"/>
        <v>1</v>
      </c>
      <c r="Q32" s="119">
        <f t="shared" si="1"/>
        <v>1.1100000000000001E-3</v>
      </c>
      <c r="R32" s="416"/>
      <c r="S32" s="198" t="s">
        <v>504</v>
      </c>
    </row>
    <row r="33" spans="1:20" ht="89.25" x14ac:dyDescent="0.2">
      <c r="A33" s="351"/>
      <c r="B33" s="321"/>
      <c r="C33" s="427"/>
      <c r="D33" s="305" t="s">
        <v>415</v>
      </c>
      <c r="E33" s="306"/>
      <c r="F33" s="300"/>
      <c r="G33" s="123" t="s">
        <v>264</v>
      </c>
      <c r="H33" s="181" t="s">
        <v>280</v>
      </c>
      <c r="I33" s="181" t="s">
        <v>281</v>
      </c>
      <c r="J33" s="181" t="s">
        <v>35</v>
      </c>
      <c r="K33" s="181" t="s">
        <v>365</v>
      </c>
      <c r="L33" s="181" t="s">
        <v>30</v>
      </c>
      <c r="M33" s="183">
        <v>1</v>
      </c>
      <c r="N33" s="125">
        <v>1.1100000000000001E-3</v>
      </c>
      <c r="O33" s="247">
        <v>1</v>
      </c>
      <c r="P33" s="237">
        <f t="shared" si="0"/>
        <v>1</v>
      </c>
      <c r="Q33" s="119">
        <f t="shared" si="1"/>
        <v>1.1100000000000001E-3</v>
      </c>
      <c r="R33" s="416"/>
      <c r="S33" s="198" t="s">
        <v>505</v>
      </c>
    </row>
    <row r="34" spans="1:20" ht="90.75" customHeight="1" x14ac:dyDescent="0.2">
      <c r="A34" s="351"/>
      <c r="B34" s="321"/>
      <c r="C34" s="427"/>
      <c r="D34" s="305" t="s">
        <v>270</v>
      </c>
      <c r="E34" s="306"/>
      <c r="F34" s="300"/>
      <c r="G34" s="123" t="s">
        <v>264</v>
      </c>
      <c r="H34" s="181" t="s">
        <v>276</v>
      </c>
      <c r="I34" s="181" t="s">
        <v>389</v>
      </c>
      <c r="J34" s="181" t="s">
        <v>35</v>
      </c>
      <c r="K34" s="181" t="s">
        <v>360</v>
      </c>
      <c r="L34" s="181" t="s">
        <v>63</v>
      </c>
      <c r="M34" s="184">
        <v>0.8</v>
      </c>
      <c r="N34" s="125">
        <v>1.1100000000000001E-3</v>
      </c>
      <c r="O34" s="249">
        <v>0</v>
      </c>
      <c r="P34" s="237">
        <f t="shared" si="0"/>
        <v>0</v>
      </c>
      <c r="Q34" s="119">
        <f t="shared" si="1"/>
        <v>0</v>
      </c>
      <c r="R34" s="416"/>
      <c r="S34" s="198" t="s">
        <v>506</v>
      </c>
    </row>
    <row r="35" spans="1:20" ht="90" customHeight="1" x14ac:dyDescent="0.2">
      <c r="A35" s="351"/>
      <c r="B35" s="321"/>
      <c r="C35" s="427"/>
      <c r="D35" s="329" t="s">
        <v>271</v>
      </c>
      <c r="E35" s="330"/>
      <c r="F35" s="300"/>
      <c r="G35" s="123" t="s">
        <v>264</v>
      </c>
      <c r="H35" s="181" t="s">
        <v>277</v>
      </c>
      <c r="I35" s="181" t="s">
        <v>390</v>
      </c>
      <c r="J35" s="181" t="s">
        <v>35</v>
      </c>
      <c r="K35" s="181" t="s">
        <v>362</v>
      </c>
      <c r="L35" s="181" t="s">
        <v>63</v>
      </c>
      <c r="M35" s="184">
        <v>0.8</v>
      </c>
      <c r="N35" s="125">
        <v>1.1100000000000001E-3</v>
      </c>
      <c r="O35" s="249">
        <v>0</v>
      </c>
      <c r="P35" s="237">
        <f t="shared" si="0"/>
        <v>0</v>
      </c>
      <c r="Q35" s="119">
        <f t="shared" si="1"/>
        <v>0</v>
      </c>
      <c r="R35" s="416"/>
      <c r="S35" s="198" t="s">
        <v>506</v>
      </c>
    </row>
    <row r="36" spans="1:20" ht="81.75" customHeight="1" x14ac:dyDescent="0.2">
      <c r="A36" s="313"/>
      <c r="B36" s="322"/>
      <c r="C36" s="319"/>
      <c r="D36" s="329" t="s">
        <v>282</v>
      </c>
      <c r="E36" s="330"/>
      <c r="F36" s="301"/>
      <c r="G36" s="123" t="s">
        <v>264</v>
      </c>
      <c r="H36" s="181" t="s">
        <v>283</v>
      </c>
      <c r="I36" s="181" t="s">
        <v>391</v>
      </c>
      <c r="J36" s="181" t="s">
        <v>35</v>
      </c>
      <c r="K36" s="181" t="s">
        <v>361</v>
      </c>
      <c r="L36" s="181" t="s">
        <v>63</v>
      </c>
      <c r="M36" s="184">
        <v>0.8</v>
      </c>
      <c r="N36" s="125">
        <v>1.1100000000000001E-3</v>
      </c>
      <c r="O36" s="249">
        <v>1</v>
      </c>
      <c r="P36" s="237">
        <f t="shared" si="0"/>
        <v>1.25</v>
      </c>
      <c r="Q36" s="119">
        <f t="shared" si="1"/>
        <v>1.1100000000000001E-3</v>
      </c>
      <c r="R36" s="309"/>
      <c r="S36" s="198" t="s">
        <v>497</v>
      </c>
    </row>
    <row r="37" spans="1:20" s="1" customFormat="1" ht="12.75" customHeight="1" x14ac:dyDescent="0.2">
      <c r="A37" s="292" t="s">
        <v>284</v>
      </c>
      <c r="B37" s="292"/>
      <c r="C37" s="292"/>
      <c r="D37" s="292"/>
      <c r="E37" s="292"/>
      <c r="F37" s="292"/>
      <c r="G37" s="292"/>
      <c r="H37" s="287" t="s">
        <v>294</v>
      </c>
      <c r="I37" s="287" t="s">
        <v>296</v>
      </c>
      <c r="J37" s="287" t="s">
        <v>49</v>
      </c>
      <c r="K37" s="287" t="s">
        <v>298</v>
      </c>
      <c r="L37" s="287" t="s">
        <v>30</v>
      </c>
      <c r="M37" s="326">
        <v>1</v>
      </c>
      <c r="N37" s="294">
        <v>2.5000000000000001E-3</v>
      </c>
      <c r="O37" s="324">
        <v>1</v>
      </c>
      <c r="P37" s="299">
        <f t="shared" si="0"/>
        <v>1</v>
      </c>
      <c r="Q37" s="345">
        <f t="shared" si="1"/>
        <v>2.5000000000000001E-3</v>
      </c>
      <c r="R37" s="308">
        <f>((SUM(Q37:Q42))/31.67)*100</f>
        <v>2.8056836122513421E-2</v>
      </c>
      <c r="S37" s="331" t="s">
        <v>507</v>
      </c>
    </row>
    <row r="38" spans="1:20" s="1" customFormat="1" ht="102" customHeight="1" x14ac:dyDescent="0.2">
      <c r="A38" s="312" t="str">
        <f>+A29</f>
        <v>DIMENSIÓN 1: Creemos en la cultura ciudadana</v>
      </c>
      <c r="B38" s="320" t="str">
        <f>+'Objetivos Estratégicos'!B7</f>
        <v xml:space="preserve">Incrementar el nivel de eficiencia y eficacia operativa y administrativa en la gestión y ejecución de los procesos. </v>
      </c>
      <c r="C38" s="318">
        <f>+F38</f>
        <v>1.0000000000000002E-2</v>
      </c>
      <c r="D38" s="305" t="s">
        <v>291</v>
      </c>
      <c r="E38" s="306"/>
      <c r="F38" s="299">
        <f>+SUM(N37:N42)</f>
        <v>1.0000000000000002E-2</v>
      </c>
      <c r="G38" s="123" t="s">
        <v>264</v>
      </c>
      <c r="H38" s="418"/>
      <c r="I38" s="418"/>
      <c r="J38" s="418"/>
      <c r="K38" s="418"/>
      <c r="L38" s="418"/>
      <c r="M38" s="327"/>
      <c r="N38" s="293"/>
      <c r="O38" s="325"/>
      <c r="P38" s="301"/>
      <c r="Q38" s="346"/>
      <c r="R38" s="416"/>
      <c r="S38" s="332"/>
    </row>
    <row r="39" spans="1:20" s="1" customFormat="1" ht="102" customHeight="1" x14ac:dyDescent="0.2">
      <c r="A39" s="351"/>
      <c r="B39" s="321"/>
      <c r="C39" s="427"/>
      <c r="D39" s="305" t="s">
        <v>292</v>
      </c>
      <c r="E39" s="306"/>
      <c r="F39" s="300"/>
      <c r="G39" s="123" t="s">
        <v>264</v>
      </c>
      <c r="H39" s="181" t="s">
        <v>293</v>
      </c>
      <c r="I39" s="181" t="s">
        <v>295</v>
      </c>
      <c r="J39" s="181" t="s">
        <v>35</v>
      </c>
      <c r="K39" s="181" t="s">
        <v>297</v>
      </c>
      <c r="L39" s="181" t="s">
        <v>30</v>
      </c>
      <c r="M39" s="183">
        <v>1</v>
      </c>
      <c r="N39" s="119">
        <v>2.5000000000000001E-3</v>
      </c>
      <c r="O39" s="241">
        <v>1</v>
      </c>
      <c r="P39" s="237">
        <f>O39/M39</f>
        <v>1</v>
      </c>
      <c r="Q39" s="119">
        <f>IF(P39&lt;=100%,P39*N39,N39)</f>
        <v>2.5000000000000001E-3</v>
      </c>
      <c r="R39" s="416"/>
      <c r="S39" s="167" t="s">
        <v>508</v>
      </c>
    </row>
    <row r="40" spans="1:20" s="1" customFormat="1" ht="108.75" customHeight="1" x14ac:dyDescent="0.2">
      <c r="A40" s="351"/>
      <c r="B40" s="321"/>
      <c r="C40" s="427"/>
      <c r="D40" s="305" t="s">
        <v>352</v>
      </c>
      <c r="E40" s="306"/>
      <c r="F40" s="300"/>
      <c r="G40" s="123" t="s">
        <v>264</v>
      </c>
      <c r="H40" s="181" t="s">
        <v>349</v>
      </c>
      <c r="I40" s="181" t="s">
        <v>354</v>
      </c>
      <c r="J40" s="181" t="s">
        <v>35</v>
      </c>
      <c r="K40" s="181" t="s">
        <v>357</v>
      </c>
      <c r="L40" s="181" t="s">
        <v>30</v>
      </c>
      <c r="M40" s="184">
        <v>1</v>
      </c>
      <c r="N40" s="119">
        <v>2E-3</v>
      </c>
      <c r="O40" s="242">
        <v>1</v>
      </c>
      <c r="P40" s="237">
        <f>O40/M40</f>
        <v>1</v>
      </c>
      <c r="Q40" s="119">
        <f>IF(P40&lt;=100%,P40*N40,N40)</f>
        <v>2E-3</v>
      </c>
      <c r="R40" s="416"/>
      <c r="S40" s="198" t="s">
        <v>558</v>
      </c>
    </row>
    <row r="41" spans="1:20" s="1" customFormat="1" ht="102" customHeight="1" x14ac:dyDescent="0.2">
      <c r="A41" s="351"/>
      <c r="B41" s="321"/>
      <c r="C41" s="427"/>
      <c r="D41" s="305" t="s">
        <v>353</v>
      </c>
      <c r="E41" s="306"/>
      <c r="F41" s="300"/>
      <c r="G41" s="123" t="s">
        <v>264</v>
      </c>
      <c r="H41" s="181" t="s">
        <v>350</v>
      </c>
      <c r="I41" s="181" t="s">
        <v>355</v>
      </c>
      <c r="J41" s="181" t="s">
        <v>35</v>
      </c>
      <c r="K41" s="181" t="s">
        <v>358</v>
      </c>
      <c r="L41" s="181" t="s">
        <v>30</v>
      </c>
      <c r="M41" s="184">
        <v>0.25</v>
      </c>
      <c r="N41" s="119">
        <v>2E-3</v>
      </c>
      <c r="O41" s="257">
        <v>0.11070000000000001</v>
      </c>
      <c r="P41" s="259">
        <f>O41/M41</f>
        <v>0.44280000000000003</v>
      </c>
      <c r="Q41" s="119">
        <f>IF(P41&lt;=100%,P41*N41,N41)</f>
        <v>8.8560000000000006E-4</v>
      </c>
      <c r="R41" s="416"/>
      <c r="S41" s="198" t="s">
        <v>559</v>
      </c>
    </row>
    <row r="42" spans="1:20" s="1" customFormat="1" ht="102" customHeight="1" x14ac:dyDescent="0.2">
      <c r="A42" s="313"/>
      <c r="B42" s="322"/>
      <c r="C42" s="319"/>
      <c r="D42" s="305" t="s">
        <v>426</v>
      </c>
      <c r="E42" s="306"/>
      <c r="F42" s="301"/>
      <c r="G42" s="123" t="s">
        <v>264</v>
      </c>
      <c r="H42" s="181" t="s">
        <v>351</v>
      </c>
      <c r="I42" s="181" t="s">
        <v>356</v>
      </c>
      <c r="J42" s="181" t="s">
        <v>35</v>
      </c>
      <c r="K42" s="181" t="s">
        <v>359</v>
      </c>
      <c r="L42" s="181" t="s">
        <v>30</v>
      </c>
      <c r="M42" s="184">
        <v>0.7</v>
      </c>
      <c r="N42" s="119">
        <v>1E-3</v>
      </c>
      <c r="O42" s="258">
        <v>0.88</v>
      </c>
      <c r="P42" s="237">
        <f>O42/M42</f>
        <v>1.2571428571428573</v>
      </c>
      <c r="Q42" s="119">
        <f>IF(P42&lt;=100%,P42*N42,N42)</f>
        <v>1E-3</v>
      </c>
      <c r="R42" s="309"/>
      <c r="S42" s="198" t="s">
        <v>509</v>
      </c>
      <c r="T42" s="260"/>
    </row>
    <row r="43" spans="1:20" ht="13.5" customHeight="1" x14ac:dyDescent="0.2">
      <c r="A43" s="304" t="s">
        <v>12</v>
      </c>
      <c r="B43" s="304"/>
      <c r="C43" s="304"/>
      <c r="D43" s="304"/>
      <c r="E43" s="304"/>
      <c r="F43" s="304"/>
      <c r="G43" s="304"/>
      <c r="H43" s="304"/>
      <c r="I43" s="304"/>
      <c r="J43" s="304"/>
      <c r="K43" s="304"/>
      <c r="L43" s="304"/>
      <c r="M43" s="304"/>
      <c r="N43" s="304"/>
      <c r="O43" s="304"/>
      <c r="P43" s="304"/>
      <c r="Q43" s="304"/>
      <c r="R43" s="44">
        <f>SUM(R11:R42)</f>
        <v>0.9109379614175952</v>
      </c>
      <c r="S43" s="243"/>
    </row>
    <row r="45" spans="1:20" ht="38.25" x14ac:dyDescent="0.2">
      <c r="C45" s="106">
        <f>+C38+C29+C23+C17+C12</f>
        <v>0.31666000000000005</v>
      </c>
      <c r="S45" s="147" t="s">
        <v>366</v>
      </c>
    </row>
  </sheetData>
  <mergeCells count="125">
    <mergeCell ref="A43:Q43"/>
    <mergeCell ref="D41:E41"/>
    <mergeCell ref="D42:E42"/>
    <mergeCell ref="A38:A42"/>
    <mergeCell ref="B38:B42"/>
    <mergeCell ref="C38:C42"/>
    <mergeCell ref="S37:S38"/>
    <mergeCell ref="D38:E38"/>
    <mergeCell ref="F38:F42"/>
    <mergeCell ref="D39:E39"/>
    <mergeCell ref="A37:G37"/>
    <mergeCell ref="H37:H38"/>
    <mergeCell ref="I37:I38"/>
    <mergeCell ref="J37:J38"/>
    <mergeCell ref="K37:K38"/>
    <mergeCell ref="D40:E40"/>
    <mergeCell ref="P37:P38"/>
    <mergeCell ref="Q37:Q38"/>
    <mergeCell ref="R37:R42"/>
    <mergeCell ref="L37:L38"/>
    <mergeCell ref="M37:M38"/>
    <mergeCell ref="N37:N38"/>
    <mergeCell ref="A28:G28"/>
    <mergeCell ref="H28:H29"/>
    <mergeCell ref="I28:I29"/>
    <mergeCell ref="J28:J29"/>
    <mergeCell ref="K28:K29"/>
    <mergeCell ref="L28:L29"/>
    <mergeCell ref="D31:E31"/>
    <mergeCell ref="S28:S29"/>
    <mergeCell ref="A29:A36"/>
    <mergeCell ref="B29:B36"/>
    <mergeCell ref="C29:C36"/>
    <mergeCell ref="D29:E29"/>
    <mergeCell ref="F29:F36"/>
    <mergeCell ref="D30:E30"/>
    <mergeCell ref="P28:P29"/>
    <mergeCell ref="Q28:Q29"/>
    <mergeCell ref="R28:R36"/>
    <mergeCell ref="M28:M29"/>
    <mergeCell ref="N28:N29"/>
    <mergeCell ref="D32:E32"/>
    <mergeCell ref="D33:E33"/>
    <mergeCell ref="D35:E35"/>
    <mergeCell ref="D36:E36"/>
    <mergeCell ref="D34:E34"/>
    <mergeCell ref="N16:N17"/>
    <mergeCell ref="A22:G22"/>
    <mergeCell ref="H22:H23"/>
    <mergeCell ref="I22:I23"/>
    <mergeCell ref="J22:J23"/>
    <mergeCell ref="K22:K23"/>
    <mergeCell ref="L22:L23"/>
    <mergeCell ref="S22:S23"/>
    <mergeCell ref="A23:A27"/>
    <mergeCell ref="B23:B27"/>
    <mergeCell ref="C23:C27"/>
    <mergeCell ref="D23:E27"/>
    <mergeCell ref="F23:F27"/>
    <mergeCell ref="G23:G27"/>
    <mergeCell ref="P22:P23"/>
    <mergeCell ref="Q22:Q23"/>
    <mergeCell ref="R22:R27"/>
    <mergeCell ref="M22:M23"/>
    <mergeCell ref="N22:N23"/>
    <mergeCell ref="A11:G11"/>
    <mergeCell ref="H11:H12"/>
    <mergeCell ref="I11:I12"/>
    <mergeCell ref="J11:J12"/>
    <mergeCell ref="K11:K12"/>
    <mergeCell ref="L11:L12"/>
    <mergeCell ref="M11:M12"/>
    <mergeCell ref="A16:G16"/>
    <mergeCell ref="H16:H17"/>
    <mergeCell ref="I16:I17"/>
    <mergeCell ref="J16:J17"/>
    <mergeCell ref="K16:K17"/>
    <mergeCell ref="L16:L17"/>
    <mergeCell ref="A17:A21"/>
    <mergeCell ref="B17:B21"/>
    <mergeCell ref="C17:C21"/>
    <mergeCell ref="D17:E21"/>
    <mergeCell ref="F17:F21"/>
    <mergeCell ref="G17:G21"/>
    <mergeCell ref="M16:M17"/>
    <mergeCell ref="N11:N12"/>
    <mergeCell ref="N9:N10"/>
    <mergeCell ref="A1:D3"/>
    <mergeCell ref="E1:S3"/>
    <mergeCell ref="A4:S4"/>
    <mergeCell ref="A5:S5"/>
    <mergeCell ref="A6:S6"/>
    <mergeCell ref="A7:S7"/>
    <mergeCell ref="A8:N8"/>
    <mergeCell ref="A9:A10"/>
    <mergeCell ref="B9:B10"/>
    <mergeCell ref="C9:C10"/>
    <mergeCell ref="D9:E10"/>
    <mergeCell ref="F9:F10"/>
    <mergeCell ref="G9:G10"/>
    <mergeCell ref="H9:M9"/>
    <mergeCell ref="R9:R10"/>
    <mergeCell ref="S11:S12"/>
    <mergeCell ref="A12:A15"/>
    <mergeCell ref="B12:B15"/>
    <mergeCell ref="C12:C15"/>
    <mergeCell ref="D12:E15"/>
    <mergeCell ref="F12:F15"/>
    <mergeCell ref="G12:G15"/>
    <mergeCell ref="O9:O10"/>
    <mergeCell ref="O11:O12"/>
    <mergeCell ref="O16:O17"/>
    <mergeCell ref="O22:O23"/>
    <mergeCell ref="O28:O29"/>
    <mergeCell ref="O37:O38"/>
    <mergeCell ref="S9:S10"/>
    <mergeCell ref="P9:P10"/>
    <mergeCell ref="Q9:Q10"/>
    <mergeCell ref="P11:P12"/>
    <mergeCell ref="Q11:Q12"/>
    <mergeCell ref="R11:R15"/>
    <mergeCell ref="S16:S17"/>
    <mergeCell ref="P16:P17"/>
    <mergeCell ref="Q16:Q17"/>
    <mergeCell ref="R16:R21"/>
  </mergeCells>
  <pageMargins left="0.7" right="0.7" top="0.75" bottom="0.75" header="0.3" footer="0.3"/>
  <pageSetup orientation="portrait" r:id="rId1"/>
  <ignoredErrors>
    <ignoredError sqref="F12 F17 F29 F38 F23" formulaRange="1"/>
    <ignoredError sqref="P1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1"/>
  <sheetViews>
    <sheetView showGridLines="0" tabSelected="1" zoomScaleNormal="100" workbookViewId="0">
      <selection sqref="A1:XFD1048576"/>
    </sheetView>
  </sheetViews>
  <sheetFormatPr baseColWidth="10" defaultColWidth="10.85546875" defaultRowHeight="12.75" x14ac:dyDescent="0.2"/>
  <cols>
    <col min="1" max="1" width="3.7109375" style="3" customWidth="1"/>
    <col min="2" max="2" width="95.7109375" style="3" bestFit="1" customWidth="1"/>
    <col min="3" max="3" width="20.7109375" style="3" customWidth="1"/>
    <col min="4" max="4" width="18.28515625" style="3" customWidth="1"/>
    <col min="5" max="16384" width="10.85546875" style="3"/>
  </cols>
  <sheetData>
    <row r="1" spans="1:4" ht="32.25" customHeight="1" thickBot="1" x14ac:dyDescent="0.25">
      <c r="A1" s="262" t="s">
        <v>14</v>
      </c>
      <c r="B1" s="263"/>
      <c r="C1" s="263"/>
      <c r="D1" s="264"/>
    </row>
    <row r="2" spans="1:4" ht="30.75" thickBot="1" x14ac:dyDescent="0.3">
      <c r="A2" s="4" t="s">
        <v>15</v>
      </c>
      <c r="B2" s="5" t="s">
        <v>135</v>
      </c>
      <c r="C2" s="165" t="s">
        <v>4</v>
      </c>
      <c r="D2" s="6" t="s">
        <v>486</v>
      </c>
    </row>
    <row r="3" spans="1:4" ht="41.25" customHeight="1" x14ac:dyDescent="0.3">
      <c r="A3" s="97">
        <v>1</v>
      </c>
      <c r="B3" s="98" t="s">
        <v>20</v>
      </c>
      <c r="C3" s="99">
        <f>SUM(Gerencia!C12)+SUM('G. Programación'!C12,'G. Programación'!C14:C17)+SUM('G. Comunicaciones'!C12:C15,'G. Comunicaciones'!C17:C21)</f>
        <v>0.38500000000000001</v>
      </c>
      <c r="D3" s="99">
        <f>Gerencia!Q11+(SUM('G. Programación'!Q11:Q17))+(SUM('G. Comunicaciones'!Q11:Q21))</f>
        <v>0.33170416666666669</v>
      </c>
    </row>
    <row r="4" spans="1:4" ht="38.25" customHeight="1" x14ac:dyDescent="0.2">
      <c r="A4" s="100">
        <v>2</v>
      </c>
      <c r="B4" s="101" t="s">
        <v>498</v>
      </c>
      <c r="C4" s="169">
        <f>SUM('G. Programación'!C18:C19,'G. Programación'!C21:C31,'G. Programación'!C33:C43,'G. Programación'!C45)+SUM('G. Producción'!C12:C16)+SUM('G. Técnica.'!C12:C13)+SUM('G. Comunicaciones'!C23:C27)</f>
        <v>0.375</v>
      </c>
      <c r="D4" s="99">
        <f>SUM('G. Programación'!Q18:Q45)+SUM('G. Producción'!Q11:Q16)+SUM('G. Técnica.'!Q11:Q13)+(SUM('G. Comunicaciones'!Q22:Q27))</f>
        <v>0.3215381582952816</v>
      </c>
    </row>
    <row r="5" spans="1:4" ht="39" customHeight="1" x14ac:dyDescent="0.2">
      <c r="A5" s="100">
        <v>3</v>
      </c>
      <c r="B5" s="101" t="s">
        <v>405</v>
      </c>
      <c r="C5" s="169">
        <f>SUM('G. Programación'!C47:C52)+SUM('G. Producción'!C17)+SUM('G. Agencia y Central.'!C12:C19)+SUM('G. Comunicaciones'!C29:C36)</f>
        <v>0.105026666666</v>
      </c>
      <c r="D5" s="99">
        <f>+SUM('G. Programación'!Q46:Q52)+'G. Producción'!Q17+SUM('G. Agencia y Central.'!Q11:Q19)+(SUM('G. Comunicaciones'!Q28:Q36))</f>
        <v>9.3251345431527841E-2</v>
      </c>
    </row>
    <row r="6" spans="1:4" ht="37.5" x14ac:dyDescent="0.2">
      <c r="A6" s="100">
        <v>4</v>
      </c>
      <c r="B6" s="101" t="s">
        <v>16</v>
      </c>
      <c r="C6" s="169">
        <f>SUM(Gerencia!C13)+SUM('G. Adtiva y Fra'!C14:C15,'G. Adtiva y Fra'!C18:C19)</f>
        <v>2.1000000000000001E-2</v>
      </c>
      <c r="D6" s="99">
        <f>+Gerencia!Q13+SUM('G. Adtiva y Fra'!Q13+'G. Adtiva y Fra'!Q14+'G. Adtiva y Fra'!Q18+'G. Adtiva y Fra'!Q19)</f>
        <v>1.4999999999999999E-2</v>
      </c>
    </row>
    <row r="7" spans="1:4" ht="37.5" x14ac:dyDescent="0.2">
      <c r="A7" s="100">
        <v>5</v>
      </c>
      <c r="B7" s="101" t="s">
        <v>17</v>
      </c>
      <c r="C7" s="169">
        <f>SUM(Planeación!C12)+SUM('G. Agencia y Central.'!C21:C21)+SUM('G. Adtiva y Fra'!C12,'G. Adtiva y Fra'!C16:C17)+SUM('G. Control Interno'!C11)+SUM('G. Comunicaciones'!C38:C42)</f>
        <v>6.4999999966630001E-2</v>
      </c>
      <c r="D7" s="99">
        <f>+(SUM(Planeación!Q11:Q17))+SUM('G. Agencia y Central.'!Q20:Q21)+SUM('G. Adtiva y Fra'!Q11,'G. Adtiva y Fra'!Q12,'G. Adtiva y Fra'!Q16,'G. Adtiva y Fra'!Q17)+'G. Control Interno'!Q11+(SUM('G. Comunicaciones'!Q37:Q42))</f>
        <v>6.3137266633296663E-2</v>
      </c>
    </row>
    <row r="8" spans="1:4" ht="37.5" x14ac:dyDescent="0.2">
      <c r="A8" s="100">
        <v>6</v>
      </c>
      <c r="B8" s="101" t="s">
        <v>18</v>
      </c>
      <c r="C8" s="169">
        <f>SUM('G. Humana'!C12:C15,'G. Humana'!C17:C18,'G. Humana'!C20,'G. Humana'!C22)+SUM('G. Jurídica'!D13:D18)</f>
        <v>4.9000000000000002E-2</v>
      </c>
      <c r="D8" s="99">
        <f>+SUM('G. Humana'!Q11:Q22)+SUM('G. Jurídica'!R12:R18)</f>
        <v>4.8450000000000007E-2</v>
      </c>
    </row>
    <row r="9" spans="1:4" ht="24.75" customHeight="1" x14ac:dyDescent="0.2">
      <c r="A9" s="102"/>
      <c r="B9" s="163" t="s">
        <v>19</v>
      </c>
      <c r="C9" s="164">
        <f>SUM(C3:C8)</f>
        <v>1.0000266666326301</v>
      </c>
      <c r="D9" s="164">
        <f>ROUNDDOWN(SUM(D3:D8),2)</f>
        <v>0.87</v>
      </c>
    </row>
    <row r="10" spans="1:4" x14ac:dyDescent="0.2">
      <c r="A10" s="7"/>
    </row>
    <row r="11" spans="1:4" x14ac:dyDescent="0.2">
      <c r="A11" s="7"/>
    </row>
    <row r="12" spans="1:4" ht="15.75" x14ac:dyDescent="0.2">
      <c r="A12" s="7"/>
      <c r="C12" s="163" t="s">
        <v>527</v>
      </c>
      <c r="D12" s="163" t="s">
        <v>528</v>
      </c>
    </row>
    <row r="13" spans="1:4" ht="15" x14ac:dyDescent="0.25">
      <c r="A13" s="7"/>
      <c r="B13" s="30"/>
      <c r="C13" s="205" t="s">
        <v>516</v>
      </c>
      <c r="D13" s="206">
        <f>Gerencia!R14</f>
        <v>1</v>
      </c>
    </row>
    <row r="14" spans="1:4" ht="15" x14ac:dyDescent="0.25">
      <c r="A14" s="7"/>
      <c r="B14" s="30"/>
      <c r="C14" s="205" t="s">
        <v>517</v>
      </c>
      <c r="D14" s="206">
        <f>Planeación!R18</f>
        <v>0.9999999983315</v>
      </c>
    </row>
    <row r="15" spans="1:4" ht="15" x14ac:dyDescent="0.25">
      <c r="A15" s="7"/>
      <c r="B15" s="30"/>
      <c r="C15" s="205" t="s">
        <v>523</v>
      </c>
      <c r="D15" s="206">
        <f>'G. Jurídica'!S19</f>
        <v>0.99999999999999989</v>
      </c>
    </row>
    <row r="16" spans="1:4" ht="15" x14ac:dyDescent="0.25">
      <c r="A16" s="7"/>
      <c r="C16" s="205" t="s">
        <v>522</v>
      </c>
      <c r="D16" s="206">
        <f>'G. Humana'!R23</f>
        <v>0.97608695652173905</v>
      </c>
    </row>
    <row r="17" spans="1:4" ht="15" x14ac:dyDescent="0.25">
      <c r="A17" s="7"/>
      <c r="C17" s="205" t="s">
        <v>520</v>
      </c>
      <c r="D17" s="206">
        <f>'G. Agencia y Central.'!R22</f>
        <v>0.95189325293715243</v>
      </c>
    </row>
    <row r="18" spans="1:4" ht="15" x14ac:dyDescent="0.25">
      <c r="A18" s="7"/>
      <c r="C18" s="205" t="s">
        <v>525</v>
      </c>
      <c r="D18" s="206">
        <f>'G. Control Interno'!R12</f>
        <v>0.95</v>
      </c>
    </row>
    <row r="19" spans="1:4" ht="15" x14ac:dyDescent="0.25">
      <c r="A19" s="7"/>
      <c r="C19" s="205" t="s">
        <v>521</v>
      </c>
      <c r="D19" s="206">
        <f>'G. Técnica.'!R14</f>
        <v>0.9111111111111112</v>
      </c>
    </row>
    <row r="20" spans="1:4" ht="15" x14ac:dyDescent="0.25">
      <c r="A20" s="7"/>
      <c r="C20" s="205" t="s">
        <v>526</v>
      </c>
      <c r="D20" s="206">
        <f>'G. Comunicaciones'!R43</f>
        <v>0.9109379614175952</v>
      </c>
    </row>
    <row r="21" spans="1:4" ht="15" x14ac:dyDescent="0.25">
      <c r="A21" s="7"/>
      <c r="C21" s="205" t="s">
        <v>519</v>
      </c>
      <c r="D21" s="206">
        <f>'G. Producción'!R18</f>
        <v>0.9074444444444445</v>
      </c>
    </row>
    <row r="22" spans="1:4" ht="15" x14ac:dyDescent="0.25">
      <c r="A22" s="7"/>
      <c r="C22" s="205" t="s">
        <v>524</v>
      </c>
      <c r="D22" s="206">
        <f>'G. Adtiva y Fra'!R20</f>
        <v>0.82643518518518522</v>
      </c>
    </row>
    <row r="23" spans="1:4" ht="15" x14ac:dyDescent="0.25">
      <c r="A23" s="7"/>
      <c r="B23" s="30"/>
      <c r="C23" s="205" t="s">
        <v>518</v>
      </c>
      <c r="D23" s="206">
        <f>'G. Programación'!R53</f>
        <v>0.78801922650305278</v>
      </c>
    </row>
    <row r="24" spans="1:4" x14ac:dyDescent="0.2">
      <c r="A24" s="7"/>
      <c r="D24" s="30"/>
    </row>
    <row r="25" spans="1:4" x14ac:dyDescent="0.2">
      <c r="A25" s="7"/>
    </row>
    <row r="26" spans="1:4" x14ac:dyDescent="0.2">
      <c r="A26" s="7"/>
    </row>
    <row r="27" spans="1:4" x14ac:dyDescent="0.2">
      <c r="A27" s="7"/>
    </row>
    <row r="31" spans="1:4" x14ac:dyDescent="0.2">
      <c r="B31" s="30" t="s">
        <v>134</v>
      </c>
    </row>
  </sheetData>
  <sortState ref="C13:D23">
    <sortCondition descending="1" ref="D13:D23"/>
  </sortState>
  <mergeCells count="1">
    <mergeCell ref="A1:D1"/>
  </mergeCells>
  <pageMargins left="0.70866141732283472" right="0.70866141732283472" top="0.74803149606299213" bottom="0.74803149606299213" header="0.31496062992125984" footer="0.31496062992125984"/>
  <pageSetup paperSize="12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47"/>
  <sheetViews>
    <sheetView showGridLines="0" topLeftCell="E1" zoomScale="70" zoomScaleNormal="70" zoomScalePageLayoutView="70" workbookViewId="0">
      <selection activeCell="S13" sqref="S13"/>
    </sheetView>
  </sheetViews>
  <sheetFormatPr baseColWidth="10" defaultColWidth="10.85546875" defaultRowHeight="12.75" x14ac:dyDescent="0.2"/>
  <cols>
    <col min="1" max="1" width="30.42578125" style="12" customWidth="1"/>
    <col min="2" max="2" width="36.140625" style="12" customWidth="1"/>
    <col min="3" max="3" width="10.42578125" style="12" customWidth="1"/>
    <col min="4" max="4" width="10.85546875" style="12"/>
    <col min="5" max="5" width="18.28515625" style="12" customWidth="1"/>
    <col min="6" max="6" width="10" style="12" customWidth="1"/>
    <col min="7" max="8" width="19.28515625" style="12" customWidth="1"/>
    <col min="9" max="9" width="31.140625" style="12" customWidth="1"/>
    <col min="10" max="10" width="23.28515625" style="12" customWidth="1"/>
    <col min="11" max="11" width="16" style="12" customWidth="1"/>
    <col min="12" max="12" width="15.42578125" style="12" customWidth="1"/>
    <col min="13" max="13" width="20.5703125" style="12" bestFit="1" customWidth="1"/>
    <col min="14" max="14" width="11.140625" style="12" customWidth="1"/>
    <col min="15" max="15" width="16.42578125" style="12" customWidth="1"/>
    <col min="16" max="16" width="14" style="12" customWidth="1"/>
    <col min="17" max="17" width="15.85546875" style="12" customWidth="1"/>
    <col min="18" max="18" width="13.140625" style="12" customWidth="1"/>
    <col min="19" max="19" width="37.85546875" style="12" customWidth="1"/>
    <col min="20" max="16384" width="10.85546875" style="12"/>
  </cols>
  <sheetData>
    <row r="1" spans="1:19" ht="24.75" customHeight="1" x14ac:dyDescent="0.2">
      <c r="A1" s="268"/>
      <c r="B1" s="268"/>
      <c r="C1" s="268"/>
      <c r="D1" s="269" t="s">
        <v>0</v>
      </c>
      <c r="E1" s="270"/>
      <c r="F1" s="270"/>
      <c r="G1" s="270"/>
      <c r="H1" s="270"/>
      <c r="I1" s="270"/>
      <c r="J1" s="270"/>
      <c r="K1" s="270"/>
      <c r="L1" s="270"/>
      <c r="M1" s="270"/>
      <c r="N1" s="270"/>
      <c r="O1" s="270"/>
      <c r="P1" s="270"/>
      <c r="Q1" s="270"/>
      <c r="R1" s="270"/>
      <c r="S1" s="271"/>
    </row>
    <row r="2" spans="1:19" ht="24.75" customHeight="1" x14ac:dyDescent="0.2">
      <c r="A2" s="268"/>
      <c r="B2" s="268"/>
      <c r="C2" s="268"/>
      <c r="D2" s="272"/>
      <c r="E2" s="273"/>
      <c r="F2" s="273"/>
      <c r="G2" s="273"/>
      <c r="H2" s="273"/>
      <c r="I2" s="273"/>
      <c r="J2" s="273"/>
      <c r="K2" s="273"/>
      <c r="L2" s="273"/>
      <c r="M2" s="273"/>
      <c r="N2" s="273"/>
      <c r="O2" s="273"/>
      <c r="P2" s="273"/>
      <c r="Q2" s="273"/>
      <c r="R2" s="273"/>
      <c r="S2" s="274"/>
    </row>
    <row r="3" spans="1:19" ht="24.75" customHeight="1" x14ac:dyDescent="0.2">
      <c r="A3" s="268"/>
      <c r="B3" s="268"/>
      <c r="C3" s="268"/>
      <c r="D3" s="275"/>
      <c r="E3" s="276"/>
      <c r="F3" s="276"/>
      <c r="G3" s="276"/>
      <c r="H3" s="276"/>
      <c r="I3" s="276"/>
      <c r="J3" s="276"/>
      <c r="K3" s="276"/>
      <c r="L3" s="276"/>
      <c r="M3" s="276"/>
      <c r="N3" s="276"/>
      <c r="O3" s="276"/>
      <c r="P3" s="276"/>
      <c r="Q3" s="276"/>
      <c r="R3" s="276"/>
      <c r="S3" s="277"/>
    </row>
    <row r="4" spans="1:19" x14ac:dyDescent="0.2">
      <c r="A4" s="279" t="s">
        <v>1</v>
      </c>
      <c r="B4" s="279"/>
      <c r="C4" s="279"/>
      <c r="D4" s="279"/>
      <c r="E4" s="279"/>
      <c r="F4" s="279"/>
      <c r="G4" s="279"/>
      <c r="H4" s="279"/>
      <c r="I4" s="279"/>
      <c r="J4" s="279"/>
      <c r="K4" s="279"/>
      <c r="L4" s="279"/>
      <c r="M4" s="279"/>
      <c r="N4" s="279"/>
      <c r="O4" s="279"/>
      <c r="P4" s="279"/>
      <c r="Q4" s="279"/>
      <c r="R4" s="279"/>
      <c r="S4" s="279"/>
    </row>
    <row r="5" spans="1:19" x14ac:dyDescent="0.2">
      <c r="A5" s="279" t="s">
        <v>102</v>
      </c>
      <c r="B5" s="279"/>
      <c r="C5" s="279"/>
      <c r="D5" s="279"/>
      <c r="E5" s="279"/>
      <c r="F5" s="279"/>
      <c r="G5" s="279"/>
      <c r="H5" s="279"/>
      <c r="I5" s="279"/>
      <c r="J5" s="279"/>
      <c r="K5" s="279"/>
      <c r="L5" s="279"/>
      <c r="M5" s="279"/>
      <c r="N5" s="279"/>
      <c r="O5" s="279"/>
      <c r="P5" s="279"/>
      <c r="Q5" s="279"/>
      <c r="R5" s="279"/>
      <c r="S5" s="279"/>
    </row>
    <row r="6" spans="1:19" ht="15" customHeight="1" x14ac:dyDescent="0.2">
      <c r="A6" s="279" t="s">
        <v>368</v>
      </c>
      <c r="B6" s="279"/>
      <c r="C6" s="279"/>
      <c r="D6" s="279"/>
      <c r="E6" s="279"/>
      <c r="F6" s="279"/>
      <c r="G6" s="279"/>
      <c r="H6" s="279"/>
      <c r="I6" s="279"/>
      <c r="J6" s="279"/>
      <c r="K6" s="279"/>
      <c r="L6" s="279"/>
      <c r="M6" s="279"/>
      <c r="N6" s="279"/>
      <c r="O6" s="279"/>
      <c r="P6" s="279"/>
      <c r="Q6" s="279"/>
      <c r="R6" s="279"/>
      <c r="S6" s="279"/>
    </row>
    <row r="7" spans="1:19" x14ac:dyDescent="0.2">
      <c r="A7" s="265"/>
      <c r="B7" s="266"/>
      <c r="C7" s="266"/>
      <c r="D7" s="266"/>
      <c r="E7" s="266"/>
      <c r="F7" s="266"/>
      <c r="G7" s="266"/>
      <c r="H7" s="266"/>
      <c r="I7" s="266"/>
      <c r="J7" s="266"/>
      <c r="K7" s="266"/>
      <c r="L7" s="266"/>
      <c r="M7" s="266"/>
      <c r="N7" s="266"/>
      <c r="O7" s="266"/>
      <c r="P7" s="266"/>
      <c r="Q7" s="266"/>
      <c r="R7" s="266"/>
      <c r="S7" s="267"/>
    </row>
    <row r="8" spans="1:19" ht="15.75" customHeight="1" x14ac:dyDescent="0.2">
      <c r="A8" s="278" t="s">
        <v>2</v>
      </c>
      <c r="B8" s="278"/>
      <c r="C8" s="278"/>
      <c r="D8" s="278"/>
      <c r="E8" s="278"/>
      <c r="F8" s="278"/>
      <c r="G8" s="278"/>
      <c r="H8" s="278"/>
      <c r="I8" s="278"/>
      <c r="J8" s="278"/>
      <c r="K8" s="278"/>
      <c r="L8" s="278"/>
      <c r="M8" s="278"/>
      <c r="N8" s="278"/>
      <c r="O8" s="208"/>
      <c r="P8" s="58"/>
      <c r="Q8" s="58"/>
      <c r="R8" s="58"/>
      <c r="S8" s="209"/>
    </row>
    <row r="9" spans="1:19" ht="12.75" customHeight="1" x14ac:dyDescent="0.2">
      <c r="A9" s="288" t="s">
        <v>132</v>
      </c>
      <c r="B9" s="288" t="s">
        <v>474</v>
      </c>
      <c r="C9" s="286" t="s">
        <v>4</v>
      </c>
      <c r="D9" s="288" t="s">
        <v>5</v>
      </c>
      <c r="E9" s="288"/>
      <c r="F9" s="286" t="s">
        <v>4</v>
      </c>
      <c r="G9" s="288" t="s">
        <v>6</v>
      </c>
      <c r="H9" s="288" t="s">
        <v>7</v>
      </c>
      <c r="I9" s="288"/>
      <c r="J9" s="288"/>
      <c r="K9" s="288"/>
      <c r="L9" s="288"/>
      <c r="M9" s="288"/>
      <c r="N9" s="286" t="s">
        <v>4</v>
      </c>
      <c r="O9" s="290" t="s">
        <v>529</v>
      </c>
      <c r="P9" s="286" t="s">
        <v>8</v>
      </c>
      <c r="Q9" s="286" t="s">
        <v>9</v>
      </c>
      <c r="R9" s="286" t="s">
        <v>10</v>
      </c>
      <c r="S9" s="290" t="s">
        <v>535</v>
      </c>
    </row>
    <row r="10" spans="1:19" ht="51.75" customHeight="1" x14ac:dyDescent="0.2">
      <c r="A10" s="288"/>
      <c r="B10" s="288"/>
      <c r="C10" s="286"/>
      <c r="D10" s="288"/>
      <c r="E10" s="288"/>
      <c r="F10" s="286"/>
      <c r="G10" s="288"/>
      <c r="H10" s="58" t="s">
        <v>43</v>
      </c>
      <c r="I10" s="55" t="s">
        <v>42</v>
      </c>
      <c r="J10" s="55" t="s">
        <v>47</v>
      </c>
      <c r="K10" s="58" t="s">
        <v>31</v>
      </c>
      <c r="L10" s="55" t="s">
        <v>48</v>
      </c>
      <c r="M10" s="55" t="s">
        <v>52</v>
      </c>
      <c r="N10" s="286"/>
      <c r="O10" s="290"/>
      <c r="P10" s="286"/>
      <c r="Q10" s="286"/>
      <c r="R10" s="286"/>
      <c r="S10" s="291"/>
    </row>
    <row r="11" spans="1:19" s="1" customFormat="1" ht="12.75" customHeight="1" x14ac:dyDescent="0.2">
      <c r="A11" s="292" t="s">
        <v>284</v>
      </c>
      <c r="B11" s="292"/>
      <c r="C11" s="292"/>
      <c r="D11" s="292"/>
      <c r="E11" s="292"/>
      <c r="F11" s="292"/>
      <c r="G11" s="292"/>
      <c r="H11" s="287" t="s">
        <v>289</v>
      </c>
      <c r="I11" s="287" t="s">
        <v>427</v>
      </c>
      <c r="J11" s="287" t="s">
        <v>35</v>
      </c>
      <c r="K11" s="287" t="s">
        <v>374</v>
      </c>
      <c r="L11" s="287" t="s">
        <v>63</v>
      </c>
      <c r="M11" s="289">
        <v>13200000000</v>
      </c>
      <c r="N11" s="294">
        <v>5.0000000000000001E-3</v>
      </c>
      <c r="O11" s="289">
        <v>14921450722</v>
      </c>
      <c r="P11" s="285">
        <f>+SUM(O11)/M11</f>
        <v>1.1304129334848485</v>
      </c>
      <c r="Q11" s="297">
        <f>IF(P11&lt;=100%,P11*N11,N11)</f>
        <v>5.0000000000000001E-3</v>
      </c>
      <c r="R11" s="285">
        <f>+Q11*100</f>
        <v>0.5</v>
      </c>
      <c r="S11" s="295" t="s">
        <v>530</v>
      </c>
    </row>
    <row r="12" spans="1:19" s="1" customFormat="1" ht="169.5" customHeight="1" x14ac:dyDescent="0.2">
      <c r="A12" s="283" t="str">
        <f>'Plan de desarrollo'!B4</f>
        <v>DIMENSIÓN 1: Creemos en la cultura ciudadana</v>
      </c>
      <c r="B12" s="59" t="str">
        <f>+'Objetivos Estratégicos'!B3</f>
        <v xml:space="preserve">Elevar el nivel de competitividad y posicionamiento del Canal como plataforma de contenidos formativos, Informativos y culturales. </v>
      </c>
      <c r="C12" s="75">
        <f>+F12</f>
        <v>5.0000000000000001E-3</v>
      </c>
      <c r="D12" s="287" t="s">
        <v>290</v>
      </c>
      <c r="E12" s="287"/>
      <c r="F12" s="57">
        <f>+N11</f>
        <v>5.0000000000000001E-3</v>
      </c>
      <c r="G12" s="56" t="s">
        <v>11</v>
      </c>
      <c r="H12" s="293"/>
      <c r="I12" s="293"/>
      <c r="J12" s="293"/>
      <c r="K12" s="293"/>
      <c r="L12" s="293"/>
      <c r="M12" s="289"/>
      <c r="N12" s="293"/>
      <c r="O12" s="289"/>
      <c r="P12" s="285"/>
      <c r="Q12" s="297"/>
      <c r="R12" s="285"/>
      <c r="S12" s="296"/>
    </row>
    <row r="13" spans="1:19" s="1" customFormat="1" ht="149.25" customHeight="1" x14ac:dyDescent="0.2">
      <c r="A13" s="284"/>
      <c r="B13" s="65" t="str">
        <f>'Objetivos Estratégicos'!B6</f>
        <v xml:space="preserve">Administrar y optimizar eficientemente los recursos financieros acorde con las expectativas de los asociados. </v>
      </c>
      <c r="C13" s="86">
        <f>+F13</f>
        <v>5.0000000000000001E-3</v>
      </c>
      <c r="D13" s="287" t="s">
        <v>345</v>
      </c>
      <c r="E13" s="287"/>
      <c r="F13" s="87">
        <f>+N13</f>
        <v>5.0000000000000001E-3</v>
      </c>
      <c r="G13" s="63" t="s">
        <v>11</v>
      </c>
      <c r="H13" s="79" t="s">
        <v>346</v>
      </c>
      <c r="I13" s="79" t="s">
        <v>348</v>
      </c>
      <c r="J13" s="79" t="s">
        <v>35</v>
      </c>
      <c r="K13" s="79" t="s">
        <v>347</v>
      </c>
      <c r="L13" s="111" t="s">
        <v>63</v>
      </c>
      <c r="M13" s="94">
        <v>1</v>
      </c>
      <c r="N13" s="72">
        <v>5.0000000000000001E-3</v>
      </c>
      <c r="O13" s="151">
        <v>1</v>
      </c>
      <c r="P13" s="80">
        <f>+SUM(O13)/M13</f>
        <v>1</v>
      </c>
      <c r="Q13" s="73">
        <f>IF(P13&lt;=100%,P13*N13,N13)</f>
        <v>5.0000000000000001E-3</v>
      </c>
      <c r="R13" s="81">
        <f>+Q13*100</f>
        <v>0.5</v>
      </c>
      <c r="S13" s="177" t="s">
        <v>446</v>
      </c>
    </row>
    <row r="14" spans="1:19" ht="22.5" customHeight="1" x14ac:dyDescent="0.2">
      <c r="A14" s="280" t="s">
        <v>12</v>
      </c>
      <c r="B14" s="281"/>
      <c r="C14" s="281"/>
      <c r="D14" s="281"/>
      <c r="E14" s="281"/>
      <c r="F14" s="281"/>
      <c r="G14" s="281"/>
      <c r="H14" s="281"/>
      <c r="I14" s="281"/>
      <c r="J14" s="281"/>
      <c r="K14" s="281"/>
      <c r="L14" s="281"/>
      <c r="M14" s="281"/>
      <c r="N14" s="281"/>
      <c r="O14" s="281"/>
      <c r="P14" s="281"/>
      <c r="Q14" s="282"/>
      <c r="R14" s="107">
        <f>+R11+R13</f>
        <v>1</v>
      </c>
      <c r="S14" s="207"/>
    </row>
    <row r="15" spans="1:19" x14ac:dyDescent="0.2">
      <c r="Q15" s="106"/>
    </row>
    <row r="16" spans="1:19" ht="36" x14ac:dyDescent="0.2">
      <c r="F16" s="106">
        <f>+F12+F13</f>
        <v>0.01</v>
      </c>
      <c r="S16" s="129" t="s">
        <v>366</v>
      </c>
    </row>
    <row r="45" spans="2:3" x14ac:dyDescent="0.2">
      <c r="B45" s="18"/>
    </row>
    <row r="47" spans="2:3" x14ac:dyDescent="0.2">
      <c r="B47" s="19"/>
      <c r="C47" s="19"/>
    </row>
  </sheetData>
  <mergeCells count="37">
    <mergeCell ref="S9:S10"/>
    <mergeCell ref="A11:G11"/>
    <mergeCell ref="H11:H12"/>
    <mergeCell ref="I11:I12"/>
    <mergeCell ref="J11:J12"/>
    <mergeCell ref="K11:K12"/>
    <mergeCell ref="L11:L12"/>
    <mergeCell ref="M11:M12"/>
    <mergeCell ref="N11:N12"/>
    <mergeCell ref="S11:S12"/>
    <mergeCell ref="R9:R10"/>
    <mergeCell ref="N9:N10"/>
    <mergeCell ref="A9:A10"/>
    <mergeCell ref="Q11:Q12"/>
    <mergeCell ref="A14:Q14"/>
    <mergeCell ref="A12:A13"/>
    <mergeCell ref="R11:R12"/>
    <mergeCell ref="F9:F10"/>
    <mergeCell ref="D13:E13"/>
    <mergeCell ref="H9:M9"/>
    <mergeCell ref="G9:G10"/>
    <mergeCell ref="D12:E12"/>
    <mergeCell ref="O11:O12"/>
    <mergeCell ref="O9:O10"/>
    <mergeCell ref="B9:B10"/>
    <mergeCell ref="C9:C10"/>
    <mergeCell ref="P11:P12"/>
    <mergeCell ref="D9:E10"/>
    <mergeCell ref="P9:P10"/>
    <mergeCell ref="Q9:Q10"/>
    <mergeCell ref="A7:S7"/>
    <mergeCell ref="A1:C3"/>
    <mergeCell ref="D1:S3"/>
    <mergeCell ref="A8:N8"/>
    <mergeCell ref="A4:S4"/>
    <mergeCell ref="A5:S5"/>
    <mergeCell ref="A6:S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0"/>
  <sheetViews>
    <sheetView showGridLines="0" topLeftCell="C1" zoomScale="70" zoomScaleNormal="70" zoomScalePageLayoutView="85" workbookViewId="0">
      <selection activeCell="K15" sqref="K15"/>
    </sheetView>
  </sheetViews>
  <sheetFormatPr baseColWidth="10" defaultColWidth="10.85546875" defaultRowHeight="12.75" x14ac:dyDescent="0.2"/>
  <cols>
    <col min="1" max="1" width="23.140625" style="12" customWidth="1"/>
    <col min="2" max="2" width="26.85546875" style="12" customWidth="1"/>
    <col min="3" max="3" width="11" style="12" customWidth="1"/>
    <col min="4" max="5" width="10.85546875" style="12"/>
    <col min="6" max="6" width="11" style="12" customWidth="1"/>
    <col min="7" max="7" width="13.7109375" style="12" customWidth="1"/>
    <col min="8" max="8" width="15.85546875" style="12" customWidth="1"/>
    <col min="9" max="9" width="24.28515625" style="12" customWidth="1"/>
    <col min="10" max="10" width="20.42578125" style="12" customWidth="1"/>
    <col min="11" max="11" width="16.85546875" style="12" customWidth="1"/>
    <col min="12" max="12" width="15.42578125" style="12" customWidth="1"/>
    <col min="13" max="13" width="10.85546875" style="12"/>
    <col min="14" max="14" width="11" style="12" customWidth="1"/>
    <col min="15" max="15" width="13.85546875" style="12" customWidth="1"/>
    <col min="16" max="16" width="12.28515625" style="12" customWidth="1"/>
    <col min="17" max="17" width="14.42578125" style="12" customWidth="1"/>
    <col min="18" max="18" width="13" style="12" customWidth="1"/>
    <col min="19" max="19" width="42.28515625" style="12" customWidth="1"/>
    <col min="20" max="16384" width="10.85546875" style="12"/>
  </cols>
  <sheetData>
    <row r="1" spans="1:19" ht="18.75" customHeight="1" x14ac:dyDescent="0.2">
      <c r="A1" s="268"/>
      <c r="B1" s="268"/>
      <c r="C1" s="268"/>
      <c r="D1" s="268"/>
      <c r="E1" s="269" t="s">
        <v>0</v>
      </c>
      <c r="F1" s="270"/>
      <c r="G1" s="270"/>
      <c r="H1" s="270"/>
      <c r="I1" s="270"/>
      <c r="J1" s="270"/>
      <c r="K1" s="270"/>
      <c r="L1" s="270"/>
      <c r="M1" s="270"/>
      <c r="N1" s="270"/>
      <c r="O1" s="270"/>
      <c r="P1" s="270"/>
      <c r="Q1" s="270"/>
      <c r="R1" s="270"/>
      <c r="S1" s="271"/>
    </row>
    <row r="2" spans="1:19" ht="15.75" customHeight="1" x14ac:dyDescent="0.2">
      <c r="A2" s="268"/>
      <c r="B2" s="268"/>
      <c r="C2" s="268"/>
      <c r="D2" s="268"/>
      <c r="E2" s="272"/>
      <c r="F2" s="273"/>
      <c r="G2" s="273"/>
      <c r="H2" s="273"/>
      <c r="I2" s="273"/>
      <c r="J2" s="273"/>
      <c r="K2" s="273"/>
      <c r="L2" s="273"/>
      <c r="M2" s="273"/>
      <c r="N2" s="273"/>
      <c r="O2" s="273"/>
      <c r="P2" s="273"/>
      <c r="Q2" s="273"/>
      <c r="R2" s="273"/>
      <c r="S2" s="274"/>
    </row>
    <row r="3" spans="1:19" ht="15.75" customHeight="1" x14ac:dyDescent="0.2">
      <c r="A3" s="268"/>
      <c r="B3" s="268"/>
      <c r="C3" s="268"/>
      <c r="D3" s="268"/>
      <c r="E3" s="275"/>
      <c r="F3" s="276"/>
      <c r="G3" s="276"/>
      <c r="H3" s="276"/>
      <c r="I3" s="276"/>
      <c r="J3" s="276"/>
      <c r="K3" s="276"/>
      <c r="L3" s="276"/>
      <c r="M3" s="276"/>
      <c r="N3" s="276"/>
      <c r="O3" s="276"/>
      <c r="P3" s="276"/>
      <c r="Q3" s="276"/>
      <c r="R3" s="276"/>
      <c r="S3" s="277"/>
    </row>
    <row r="4" spans="1:19" x14ac:dyDescent="0.2">
      <c r="A4" s="279" t="s">
        <v>22</v>
      </c>
      <c r="B4" s="279"/>
      <c r="C4" s="279"/>
      <c r="D4" s="279"/>
      <c r="E4" s="279"/>
      <c r="F4" s="279"/>
      <c r="G4" s="279"/>
      <c r="H4" s="279"/>
      <c r="I4" s="279"/>
      <c r="J4" s="279"/>
      <c r="K4" s="279"/>
      <c r="L4" s="279"/>
      <c r="M4" s="279"/>
      <c r="N4" s="279"/>
      <c r="O4" s="279"/>
      <c r="P4" s="279"/>
      <c r="Q4" s="279"/>
      <c r="R4" s="279"/>
      <c r="S4" s="279"/>
    </row>
    <row r="5" spans="1:19" ht="16.5" customHeight="1" x14ac:dyDescent="0.2">
      <c r="A5" s="279" t="s">
        <v>133</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x14ac:dyDescent="0.2">
      <c r="A7" s="265"/>
      <c r="B7" s="266"/>
      <c r="C7" s="266"/>
      <c r="D7" s="266"/>
      <c r="E7" s="266"/>
      <c r="F7" s="266"/>
      <c r="G7" s="266"/>
      <c r="H7" s="266"/>
      <c r="I7" s="266"/>
      <c r="J7" s="266"/>
      <c r="K7" s="266"/>
      <c r="L7" s="266"/>
      <c r="M7" s="266"/>
      <c r="N7" s="266"/>
      <c r="O7" s="266"/>
      <c r="P7" s="266"/>
      <c r="Q7" s="266"/>
      <c r="R7" s="266"/>
      <c r="S7" s="267"/>
    </row>
    <row r="8" spans="1:19" ht="12.75" customHeight="1" x14ac:dyDescent="0.2">
      <c r="A8" s="278" t="s">
        <v>2</v>
      </c>
      <c r="B8" s="278"/>
      <c r="C8" s="278"/>
      <c r="D8" s="278"/>
      <c r="E8" s="278"/>
      <c r="F8" s="278"/>
      <c r="G8" s="278"/>
      <c r="H8" s="278"/>
      <c r="I8" s="278"/>
      <c r="J8" s="278"/>
      <c r="K8" s="278"/>
      <c r="L8" s="278"/>
      <c r="M8" s="278"/>
      <c r="N8" s="278"/>
      <c r="O8" s="208"/>
      <c r="P8" s="48"/>
      <c r="Q8" s="48"/>
      <c r="R8" s="48"/>
      <c r="S8" s="209"/>
    </row>
    <row r="9" spans="1:19" ht="12.75" customHeight="1" x14ac:dyDescent="0.2">
      <c r="A9" s="288" t="s">
        <v>132</v>
      </c>
      <c r="B9" s="288" t="s">
        <v>430</v>
      </c>
      <c r="C9" s="286" t="s">
        <v>4</v>
      </c>
      <c r="D9" s="288" t="s">
        <v>5</v>
      </c>
      <c r="E9" s="288"/>
      <c r="F9" s="286" t="s">
        <v>4</v>
      </c>
      <c r="G9" s="288" t="s">
        <v>6</v>
      </c>
      <c r="H9" s="288" t="s">
        <v>7</v>
      </c>
      <c r="I9" s="288"/>
      <c r="J9" s="288"/>
      <c r="K9" s="288"/>
      <c r="L9" s="288"/>
      <c r="M9" s="288"/>
      <c r="N9" s="286" t="s">
        <v>4</v>
      </c>
      <c r="O9" s="290" t="s">
        <v>531</v>
      </c>
      <c r="P9" s="286" t="s">
        <v>8</v>
      </c>
      <c r="Q9" s="286" t="s">
        <v>9</v>
      </c>
      <c r="R9" s="286" t="s">
        <v>10</v>
      </c>
      <c r="S9" s="290" t="s">
        <v>535</v>
      </c>
    </row>
    <row r="10" spans="1:19" ht="38.25" customHeight="1" x14ac:dyDescent="0.2">
      <c r="A10" s="288"/>
      <c r="B10" s="288"/>
      <c r="C10" s="286"/>
      <c r="D10" s="288"/>
      <c r="E10" s="288"/>
      <c r="F10" s="286"/>
      <c r="G10" s="288"/>
      <c r="H10" s="48" t="s">
        <v>43</v>
      </c>
      <c r="I10" s="55" t="s">
        <v>42</v>
      </c>
      <c r="J10" s="55" t="s">
        <v>47</v>
      </c>
      <c r="K10" s="48" t="s">
        <v>31</v>
      </c>
      <c r="L10" s="55" t="s">
        <v>48</v>
      </c>
      <c r="M10" s="55" t="s">
        <v>52</v>
      </c>
      <c r="N10" s="286"/>
      <c r="O10" s="290"/>
      <c r="P10" s="286"/>
      <c r="Q10" s="286"/>
      <c r="R10" s="286"/>
      <c r="S10" s="291"/>
    </row>
    <row r="11" spans="1:19" s="1" customFormat="1" ht="12.75" customHeight="1" x14ac:dyDescent="0.2">
      <c r="A11" s="292" t="s">
        <v>226</v>
      </c>
      <c r="B11" s="292"/>
      <c r="C11" s="292"/>
      <c r="D11" s="292"/>
      <c r="E11" s="292"/>
      <c r="F11" s="292"/>
      <c r="G11" s="292"/>
      <c r="H11" s="287" t="s">
        <v>249</v>
      </c>
      <c r="I11" s="287" t="s">
        <v>407</v>
      </c>
      <c r="J11" s="287" t="s">
        <v>35</v>
      </c>
      <c r="K11" s="287" t="s">
        <v>250</v>
      </c>
      <c r="L11" s="287" t="s">
        <v>30</v>
      </c>
      <c r="M11" s="298">
        <v>9</v>
      </c>
      <c r="N11" s="294">
        <v>5.0000000000000001E-3</v>
      </c>
      <c r="O11" s="307">
        <v>10</v>
      </c>
      <c r="P11" s="311">
        <f>AVERAGE(O11)/M11</f>
        <v>1.1111111111111112</v>
      </c>
      <c r="Q11" s="297">
        <f>IF(P11&lt;=100%,P11*N11,N11)</f>
        <v>5.0000000000000001E-3</v>
      </c>
      <c r="R11" s="308">
        <f>(Q11/2)*100</f>
        <v>0.25</v>
      </c>
      <c r="S11" s="310" t="s">
        <v>532</v>
      </c>
    </row>
    <row r="12" spans="1:19" s="1" customFormat="1" ht="186.75" customHeight="1" x14ac:dyDescent="0.2">
      <c r="A12" s="302" t="str">
        <f>+'Plan de desarrollo'!B4</f>
        <v>DIMENSIÓN 1: Creemos en la cultura ciudadana</v>
      </c>
      <c r="B12" s="303" t="str">
        <f>'Objetivos Estratégicos'!B7</f>
        <v xml:space="preserve">Incrementar el nivel de eficiencia y eficacia operativa y administrativa en la gestión y ejecución de los procesos. </v>
      </c>
      <c r="C12" s="294">
        <f>+F12</f>
        <v>1.9999999966629999E-2</v>
      </c>
      <c r="D12" s="287" t="s">
        <v>248</v>
      </c>
      <c r="E12" s="287"/>
      <c r="F12" s="299">
        <f>+SUM(N11:N17)</f>
        <v>1.9999999966629999E-2</v>
      </c>
      <c r="G12" s="203" t="s">
        <v>515</v>
      </c>
      <c r="H12" s="293"/>
      <c r="I12" s="293"/>
      <c r="J12" s="293"/>
      <c r="K12" s="293"/>
      <c r="L12" s="293"/>
      <c r="M12" s="293"/>
      <c r="N12" s="293"/>
      <c r="O12" s="307"/>
      <c r="P12" s="311"/>
      <c r="Q12" s="297"/>
      <c r="R12" s="309"/>
      <c r="S12" s="310"/>
    </row>
    <row r="13" spans="1:19" s="1" customFormat="1" ht="115.5" customHeight="1" x14ac:dyDescent="0.2">
      <c r="A13" s="302"/>
      <c r="B13" s="303"/>
      <c r="C13" s="294"/>
      <c r="D13" s="287" t="s">
        <v>251</v>
      </c>
      <c r="E13" s="287"/>
      <c r="F13" s="300"/>
      <c r="G13" s="45" t="s">
        <v>247</v>
      </c>
      <c r="H13" s="45" t="s">
        <v>252</v>
      </c>
      <c r="I13" s="45" t="s">
        <v>253</v>
      </c>
      <c r="J13" s="45" t="s">
        <v>35</v>
      </c>
      <c r="K13" s="45" t="s">
        <v>254</v>
      </c>
      <c r="L13" s="112" t="s">
        <v>30</v>
      </c>
      <c r="M13" s="95">
        <v>1</v>
      </c>
      <c r="N13" s="46">
        <v>2.5000000000000001E-3</v>
      </c>
      <c r="O13" s="96">
        <v>1</v>
      </c>
      <c r="P13" s="211">
        <f>IF(SUM(O13)&gt;=M13,100%,((SUM(O13))/M13))</f>
        <v>1</v>
      </c>
      <c r="Q13" s="46">
        <f>IF(P13&lt;=100%,P13*N13,N13)</f>
        <v>2.5000000000000001E-3</v>
      </c>
      <c r="R13" s="66">
        <f>(Q13/2)*100</f>
        <v>0.125</v>
      </c>
      <c r="S13" s="176" t="s">
        <v>475</v>
      </c>
    </row>
    <row r="14" spans="1:19" ht="113.25" customHeight="1" x14ac:dyDescent="0.2">
      <c r="A14" s="302"/>
      <c r="B14" s="303"/>
      <c r="C14" s="294"/>
      <c r="D14" s="305" t="s">
        <v>23</v>
      </c>
      <c r="E14" s="306"/>
      <c r="F14" s="300"/>
      <c r="G14" s="56" t="s">
        <v>247</v>
      </c>
      <c r="H14" s="45" t="s">
        <v>33</v>
      </c>
      <c r="I14" s="148" t="s">
        <v>375</v>
      </c>
      <c r="J14" s="45" t="s">
        <v>32</v>
      </c>
      <c r="K14" s="45" t="s">
        <v>89</v>
      </c>
      <c r="L14" s="112" t="s">
        <v>30</v>
      </c>
      <c r="M14" s="28">
        <v>1</v>
      </c>
      <c r="N14" s="46">
        <v>2.5000000000000001E-3</v>
      </c>
      <c r="O14" s="29">
        <v>1</v>
      </c>
      <c r="P14" s="211">
        <f>SUM(O14)/M14</f>
        <v>1</v>
      </c>
      <c r="Q14" s="46">
        <f>IF(P14&lt;=100%,P14*N14,N14)</f>
        <v>2.5000000000000001E-3</v>
      </c>
      <c r="R14" s="103">
        <f>(Q14/2)*100</f>
        <v>0.125</v>
      </c>
      <c r="S14" s="47" t="s">
        <v>476</v>
      </c>
    </row>
    <row r="15" spans="1:19" ht="189" customHeight="1" x14ac:dyDescent="0.2">
      <c r="A15" s="302"/>
      <c r="B15" s="303"/>
      <c r="C15" s="294"/>
      <c r="D15" s="305" t="s">
        <v>367</v>
      </c>
      <c r="E15" s="306"/>
      <c r="F15" s="300"/>
      <c r="G15" s="56" t="s">
        <v>247</v>
      </c>
      <c r="H15" s="45" t="s">
        <v>110</v>
      </c>
      <c r="I15" s="63" t="s">
        <v>112</v>
      </c>
      <c r="J15" s="45" t="s">
        <v>32</v>
      </c>
      <c r="K15" s="45" t="s">
        <v>114</v>
      </c>
      <c r="L15" s="112" t="s">
        <v>30</v>
      </c>
      <c r="M15" s="28">
        <v>1</v>
      </c>
      <c r="N15" s="46">
        <v>3.3333333333E-3</v>
      </c>
      <c r="O15" s="29">
        <v>1</v>
      </c>
      <c r="P15" s="211">
        <f>SUM(O15)/M15</f>
        <v>1</v>
      </c>
      <c r="Q15" s="46">
        <f>IF(P15&lt;=100%,P15*N15,N15)</f>
        <v>3.3333333333E-3</v>
      </c>
      <c r="R15" s="103">
        <f>(Q15/2)*100</f>
        <v>0.16666666666499999</v>
      </c>
      <c r="S15" s="47" t="s">
        <v>533</v>
      </c>
    </row>
    <row r="16" spans="1:19" ht="212.25" customHeight="1" x14ac:dyDescent="0.2">
      <c r="A16" s="302"/>
      <c r="B16" s="303"/>
      <c r="C16" s="294"/>
      <c r="D16" s="305" t="s">
        <v>406</v>
      </c>
      <c r="E16" s="306"/>
      <c r="F16" s="300"/>
      <c r="G16" s="56" t="s">
        <v>247</v>
      </c>
      <c r="H16" s="45" t="s">
        <v>116</v>
      </c>
      <c r="I16" s="63" t="s">
        <v>113</v>
      </c>
      <c r="J16" s="45" t="s">
        <v>32</v>
      </c>
      <c r="K16" s="45" t="s">
        <v>114</v>
      </c>
      <c r="L16" s="112" t="s">
        <v>30</v>
      </c>
      <c r="M16" s="28">
        <v>0.9</v>
      </c>
      <c r="N16" s="46">
        <v>3.3333333333299998E-3</v>
      </c>
      <c r="O16" s="29">
        <v>1</v>
      </c>
      <c r="P16" s="211">
        <f>SUM(O16)/M16</f>
        <v>1.1111111111111112</v>
      </c>
      <c r="Q16" s="46">
        <f>IF(P16&lt;=100%,P16*N16,N16)</f>
        <v>3.3333333333299998E-3</v>
      </c>
      <c r="R16" s="103">
        <f>(Q16/2)*100</f>
        <v>0.16666666666649999</v>
      </c>
      <c r="S16" s="47" t="s">
        <v>477</v>
      </c>
    </row>
    <row r="17" spans="1:19" ht="243" customHeight="1" x14ac:dyDescent="0.2">
      <c r="A17" s="302"/>
      <c r="B17" s="303"/>
      <c r="C17" s="294"/>
      <c r="D17" s="305" t="s">
        <v>117</v>
      </c>
      <c r="E17" s="306"/>
      <c r="F17" s="301"/>
      <c r="G17" s="56" t="s">
        <v>247</v>
      </c>
      <c r="H17" s="45" t="s">
        <v>111</v>
      </c>
      <c r="I17" s="63" t="s">
        <v>115</v>
      </c>
      <c r="J17" s="45" t="s">
        <v>34</v>
      </c>
      <c r="K17" s="45" t="s">
        <v>111</v>
      </c>
      <c r="L17" s="112" t="s">
        <v>30</v>
      </c>
      <c r="M17" s="28">
        <v>1</v>
      </c>
      <c r="N17" s="46">
        <v>3.3333333000000001E-3</v>
      </c>
      <c r="O17" s="29">
        <v>1</v>
      </c>
      <c r="P17" s="211">
        <f>SUM(O17)/M17</f>
        <v>1</v>
      </c>
      <c r="Q17" s="46">
        <f>IF(P17&lt;=100%,P17*N17,N17)</f>
        <v>3.3333333000000001E-3</v>
      </c>
      <c r="R17" s="103">
        <f>(Q17/2)*100</f>
        <v>0.16666666499999999</v>
      </c>
      <c r="S17" s="176" t="s">
        <v>534</v>
      </c>
    </row>
    <row r="18" spans="1:19" ht="17.25" customHeight="1" x14ac:dyDescent="0.2">
      <c r="A18" s="304" t="s">
        <v>12</v>
      </c>
      <c r="B18" s="304"/>
      <c r="C18" s="304"/>
      <c r="D18" s="304"/>
      <c r="E18" s="304"/>
      <c r="F18" s="304"/>
      <c r="G18" s="304"/>
      <c r="H18" s="304"/>
      <c r="I18" s="304"/>
      <c r="J18" s="304"/>
      <c r="K18" s="304"/>
      <c r="L18" s="304"/>
      <c r="M18" s="304"/>
      <c r="N18" s="304"/>
      <c r="O18" s="304"/>
      <c r="P18" s="304"/>
      <c r="Q18" s="304"/>
      <c r="R18" s="62">
        <f>SUM(R11:R17)</f>
        <v>0.9999999983315</v>
      </c>
      <c r="S18" s="210"/>
    </row>
    <row r="20" spans="1:19" ht="36" x14ac:dyDescent="0.2">
      <c r="C20" s="106">
        <f>+C12</f>
        <v>1.9999999966629999E-2</v>
      </c>
      <c r="Q20" s="106"/>
      <c r="S20" s="129" t="s">
        <v>366</v>
      </c>
    </row>
  </sheetData>
  <mergeCells count="44">
    <mergeCell ref="O9:O10"/>
    <mergeCell ref="O11:O12"/>
    <mergeCell ref="Q9:Q10"/>
    <mergeCell ref="S9:S10"/>
    <mergeCell ref="R11:R12"/>
    <mergeCell ref="R9:R10"/>
    <mergeCell ref="S11:S12"/>
    <mergeCell ref="P11:P12"/>
    <mergeCell ref="Q11:Q12"/>
    <mergeCell ref="A18:Q18"/>
    <mergeCell ref="D15:E15"/>
    <mergeCell ref="D17:E17"/>
    <mergeCell ref="D16:E16"/>
    <mergeCell ref="D14:E14"/>
    <mergeCell ref="N9:N10"/>
    <mergeCell ref="A1:D3"/>
    <mergeCell ref="A5:S5"/>
    <mergeCell ref="A6:S6"/>
    <mergeCell ref="A8:N8"/>
    <mergeCell ref="A4:S4"/>
    <mergeCell ref="E1:S3"/>
    <mergeCell ref="A7:S7"/>
    <mergeCell ref="G9:G10"/>
    <mergeCell ref="P9:P10"/>
    <mergeCell ref="A9:A10"/>
    <mergeCell ref="H9:M9"/>
    <mergeCell ref="D9:E10"/>
    <mergeCell ref="F9:F10"/>
    <mergeCell ref="B9:B10"/>
    <mergeCell ref="C9:C10"/>
    <mergeCell ref="M11:M12"/>
    <mergeCell ref="N11:N12"/>
    <mergeCell ref="A11:G11"/>
    <mergeCell ref="H11:H12"/>
    <mergeCell ref="I11:I12"/>
    <mergeCell ref="J11:J12"/>
    <mergeCell ref="K11:K12"/>
    <mergeCell ref="F12:F17"/>
    <mergeCell ref="D12:E12"/>
    <mergeCell ref="A12:A17"/>
    <mergeCell ref="B12:B17"/>
    <mergeCell ref="C12:C17"/>
    <mergeCell ref="D13:E13"/>
    <mergeCell ref="L11:L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56"/>
  <sheetViews>
    <sheetView showGridLines="0" zoomScale="60" zoomScaleNormal="60" zoomScalePageLayoutView="70" workbookViewId="0">
      <selection activeCell="P29" sqref="P29"/>
    </sheetView>
  </sheetViews>
  <sheetFormatPr baseColWidth="10" defaultColWidth="10.85546875" defaultRowHeight="12.75" x14ac:dyDescent="0.2"/>
  <cols>
    <col min="1" max="1" width="24.140625" style="12" customWidth="1"/>
    <col min="2" max="2" width="21.7109375" style="12" customWidth="1"/>
    <col min="3" max="3" width="18" style="12" customWidth="1"/>
    <col min="4" max="4" width="11.5703125" style="12" customWidth="1"/>
    <col min="5" max="5" width="16" style="12" customWidth="1"/>
    <col min="6" max="6" width="18.5703125" style="12" bestFit="1" customWidth="1"/>
    <col min="7" max="7" width="18.85546875" style="12" customWidth="1"/>
    <col min="8" max="8" width="24.85546875" style="12" customWidth="1"/>
    <col min="9" max="9" width="28.42578125" style="12" customWidth="1"/>
    <col min="10" max="10" width="11.140625" style="12" customWidth="1"/>
    <col min="11" max="11" width="19.140625" style="12" customWidth="1"/>
    <col min="12" max="12" width="13.5703125" style="12" bestFit="1" customWidth="1"/>
    <col min="13" max="13" width="9.28515625" style="12" bestFit="1" customWidth="1"/>
    <col min="14" max="14" width="18.5703125" style="12" bestFit="1" customWidth="1"/>
    <col min="15" max="15" width="14.42578125" style="12" customWidth="1"/>
    <col min="16" max="16" width="16.42578125" style="12" customWidth="1"/>
    <col min="17" max="17" width="14.85546875" style="12" customWidth="1"/>
    <col min="18" max="18" width="14.140625" style="12" customWidth="1"/>
    <col min="19" max="19" width="56.42578125" style="12" customWidth="1"/>
    <col min="20" max="16384" width="10.85546875" style="12"/>
  </cols>
  <sheetData>
    <row r="1" spans="1:19" ht="13.5" customHeight="1" x14ac:dyDescent="0.2">
      <c r="A1" s="268"/>
      <c r="B1" s="268"/>
      <c r="C1" s="268"/>
      <c r="D1" s="268"/>
      <c r="E1" s="269" t="s">
        <v>0</v>
      </c>
      <c r="F1" s="270"/>
      <c r="G1" s="270"/>
      <c r="H1" s="270"/>
      <c r="I1" s="270"/>
      <c r="J1" s="270"/>
      <c r="K1" s="270"/>
      <c r="L1" s="270"/>
      <c r="M1" s="270"/>
      <c r="N1" s="270"/>
      <c r="O1" s="270"/>
      <c r="P1" s="270"/>
      <c r="Q1" s="270"/>
      <c r="R1" s="270"/>
      <c r="S1" s="271"/>
    </row>
    <row r="2" spans="1:19" ht="13.5" customHeight="1" x14ac:dyDescent="0.2">
      <c r="A2" s="268"/>
      <c r="B2" s="268"/>
      <c r="C2" s="268"/>
      <c r="D2" s="268"/>
      <c r="E2" s="272"/>
      <c r="F2" s="273"/>
      <c r="G2" s="273"/>
      <c r="H2" s="273"/>
      <c r="I2" s="273"/>
      <c r="J2" s="273"/>
      <c r="K2" s="273"/>
      <c r="L2" s="273"/>
      <c r="M2" s="273"/>
      <c r="N2" s="273"/>
      <c r="O2" s="273"/>
      <c r="P2" s="273"/>
      <c r="Q2" s="273"/>
      <c r="R2" s="273"/>
      <c r="S2" s="274"/>
    </row>
    <row r="3" spans="1:19" ht="13.5" customHeight="1" x14ac:dyDescent="0.2">
      <c r="A3" s="268"/>
      <c r="B3" s="268"/>
      <c r="C3" s="268"/>
      <c r="D3" s="268"/>
      <c r="E3" s="275"/>
      <c r="F3" s="276"/>
      <c r="G3" s="276"/>
      <c r="H3" s="276"/>
      <c r="I3" s="276"/>
      <c r="J3" s="276"/>
      <c r="K3" s="276"/>
      <c r="L3" s="276"/>
      <c r="M3" s="276"/>
      <c r="N3" s="276"/>
      <c r="O3" s="276"/>
      <c r="P3" s="276"/>
      <c r="Q3" s="276"/>
      <c r="R3" s="276"/>
      <c r="S3" s="277"/>
    </row>
    <row r="4" spans="1:19" ht="15.75" customHeight="1" x14ac:dyDescent="0.2">
      <c r="A4" s="279" t="s">
        <v>101</v>
      </c>
      <c r="B4" s="279"/>
      <c r="C4" s="279"/>
      <c r="D4" s="279"/>
      <c r="E4" s="279"/>
      <c r="F4" s="279"/>
      <c r="G4" s="279"/>
      <c r="H4" s="279"/>
      <c r="I4" s="279"/>
      <c r="J4" s="279"/>
      <c r="K4" s="279"/>
      <c r="L4" s="279"/>
      <c r="M4" s="279"/>
      <c r="N4" s="279"/>
      <c r="O4" s="279"/>
      <c r="P4" s="279"/>
      <c r="Q4" s="279"/>
      <c r="R4" s="279"/>
      <c r="S4" s="279"/>
    </row>
    <row r="5" spans="1:19" ht="15" customHeight="1" x14ac:dyDescent="0.2">
      <c r="A5" s="279" t="s">
        <v>104</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ht="15.75" customHeight="1" x14ac:dyDescent="0.2">
      <c r="A7" s="268"/>
      <c r="B7" s="268"/>
      <c r="C7" s="268"/>
      <c r="D7" s="268"/>
      <c r="E7" s="268"/>
      <c r="F7" s="268"/>
      <c r="G7" s="268"/>
      <c r="H7" s="268"/>
      <c r="I7" s="268"/>
      <c r="J7" s="268"/>
      <c r="K7" s="268"/>
      <c r="L7" s="268"/>
      <c r="M7" s="268"/>
      <c r="N7" s="268"/>
      <c r="O7" s="268"/>
      <c r="P7" s="268"/>
      <c r="Q7" s="268"/>
      <c r="R7" s="268"/>
      <c r="S7" s="268"/>
    </row>
    <row r="8" spans="1:19" x14ac:dyDescent="0.2">
      <c r="A8" s="278" t="s">
        <v>2</v>
      </c>
      <c r="B8" s="278"/>
      <c r="C8" s="278"/>
      <c r="D8" s="278"/>
      <c r="E8" s="278"/>
      <c r="F8" s="278"/>
      <c r="G8" s="278"/>
      <c r="H8" s="278"/>
      <c r="I8" s="278"/>
      <c r="J8" s="278"/>
      <c r="K8" s="278"/>
      <c r="L8" s="278"/>
      <c r="M8" s="278"/>
      <c r="N8" s="278"/>
      <c r="O8" s="213"/>
      <c r="P8" s="117"/>
      <c r="Q8" s="117"/>
      <c r="R8" s="117"/>
      <c r="S8" s="215"/>
    </row>
    <row r="9" spans="1:19" ht="12.75" customHeight="1" x14ac:dyDescent="0.2">
      <c r="A9" s="288" t="s">
        <v>132</v>
      </c>
      <c r="B9" s="288" t="s">
        <v>430</v>
      </c>
      <c r="C9" s="286" t="s">
        <v>4</v>
      </c>
      <c r="D9" s="288" t="s">
        <v>5</v>
      </c>
      <c r="E9" s="288"/>
      <c r="F9" s="286" t="s">
        <v>4</v>
      </c>
      <c r="G9" s="288" t="s">
        <v>6</v>
      </c>
      <c r="H9" s="314" t="s">
        <v>41</v>
      </c>
      <c r="I9" s="314"/>
      <c r="J9" s="314"/>
      <c r="K9" s="314"/>
      <c r="L9" s="314"/>
      <c r="M9" s="314"/>
      <c r="N9" s="286" t="s">
        <v>4</v>
      </c>
      <c r="O9" s="290" t="s">
        <v>531</v>
      </c>
      <c r="P9" s="286" t="s">
        <v>8</v>
      </c>
      <c r="Q9" s="286" t="s">
        <v>9</v>
      </c>
      <c r="R9" s="286" t="s">
        <v>10</v>
      </c>
      <c r="S9" s="290" t="s">
        <v>535</v>
      </c>
    </row>
    <row r="10" spans="1:19" ht="41.25" customHeight="1" x14ac:dyDescent="0.2">
      <c r="A10" s="288"/>
      <c r="B10" s="288"/>
      <c r="C10" s="286"/>
      <c r="D10" s="288"/>
      <c r="E10" s="288"/>
      <c r="F10" s="286"/>
      <c r="G10" s="288"/>
      <c r="H10" s="40" t="s">
        <v>43</v>
      </c>
      <c r="I10" s="124" t="s">
        <v>42</v>
      </c>
      <c r="J10" s="124" t="s">
        <v>47</v>
      </c>
      <c r="K10" s="40" t="s">
        <v>31</v>
      </c>
      <c r="L10" s="124" t="s">
        <v>48</v>
      </c>
      <c r="M10" s="40" t="s">
        <v>60</v>
      </c>
      <c r="N10" s="286"/>
      <c r="O10" s="291"/>
      <c r="P10" s="286"/>
      <c r="Q10" s="286"/>
      <c r="R10" s="286"/>
      <c r="S10" s="291"/>
    </row>
    <row r="11" spans="1:19" ht="15.75" customHeight="1" x14ac:dyDescent="0.2">
      <c r="A11" s="292" t="s">
        <v>148</v>
      </c>
      <c r="B11" s="292"/>
      <c r="C11" s="292"/>
      <c r="D11" s="292"/>
      <c r="E11" s="292"/>
      <c r="F11" s="292"/>
      <c r="G11" s="292"/>
      <c r="H11" s="287" t="s">
        <v>386</v>
      </c>
      <c r="I11" s="287" t="s">
        <v>376</v>
      </c>
      <c r="J11" s="287" t="s">
        <v>32</v>
      </c>
      <c r="K11" s="287" t="s">
        <v>377</v>
      </c>
      <c r="L11" s="287" t="s">
        <v>30</v>
      </c>
      <c r="M11" s="298">
        <v>1.5</v>
      </c>
      <c r="N11" s="294">
        <v>0.02</v>
      </c>
      <c r="O11" s="312">
        <v>2.19</v>
      </c>
      <c r="P11" s="318">
        <f>AVERAGE(O11)/M11</f>
        <v>1.46</v>
      </c>
      <c r="Q11" s="299">
        <f>IF(P11&lt;=100%,P11*N11,N11)</f>
        <v>0.02</v>
      </c>
      <c r="R11" s="294">
        <f>(Q11/36.67)*100</f>
        <v>5.4540496318516499E-2</v>
      </c>
      <c r="S11" s="310" t="s">
        <v>536</v>
      </c>
    </row>
    <row r="12" spans="1:19" ht="117" customHeight="1" x14ac:dyDescent="0.2">
      <c r="A12" s="121" t="s">
        <v>122</v>
      </c>
      <c r="B12" s="122" t="s">
        <v>20</v>
      </c>
      <c r="C12" s="115">
        <f>+F12</f>
        <v>0.02</v>
      </c>
      <c r="D12" s="287" t="s">
        <v>384</v>
      </c>
      <c r="E12" s="287"/>
      <c r="F12" s="115">
        <f>+N11</f>
        <v>0.02</v>
      </c>
      <c r="G12" s="113" t="s">
        <v>62</v>
      </c>
      <c r="H12" s="293"/>
      <c r="I12" s="293"/>
      <c r="J12" s="293"/>
      <c r="K12" s="293"/>
      <c r="L12" s="293"/>
      <c r="M12" s="293"/>
      <c r="N12" s="293"/>
      <c r="O12" s="313"/>
      <c r="P12" s="319"/>
      <c r="Q12" s="301"/>
      <c r="R12" s="294"/>
      <c r="S12" s="310"/>
    </row>
    <row r="13" spans="1:19" ht="13.5" customHeight="1" x14ac:dyDescent="0.2">
      <c r="A13" s="292" t="s">
        <v>157</v>
      </c>
      <c r="B13" s="292"/>
      <c r="C13" s="292"/>
      <c r="D13" s="292"/>
      <c r="E13" s="292"/>
      <c r="F13" s="292"/>
      <c r="G13" s="292"/>
      <c r="H13" s="287" t="s">
        <v>137</v>
      </c>
      <c r="I13" s="287" t="s">
        <v>149</v>
      </c>
      <c r="J13" s="287" t="s">
        <v>35</v>
      </c>
      <c r="K13" s="287" t="s">
        <v>61</v>
      </c>
      <c r="L13" s="287" t="s">
        <v>30</v>
      </c>
      <c r="M13" s="317">
        <v>2100</v>
      </c>
      <c r="N13" s="294">
        <v>0.05</v>
      </c>
      <c r="O13" s="307">
        <v>1534.5</v>
      </c>
      <c r="P13" s="316">
        <f>O13/M13</f>
        <v>0.73071428571428576</v>
      </c>
      <c r="Q13" s="299">
        <f>IF(P13&lt;=100%,P13*N13,N13)</f>
        <v>3.6535714285714289E-2</v>
      </c>
      <c r="R13" s="294">
        <f>(SUM(Q13:Q17)/36.67)*100</f>
        <v>0.16780941992286413</v>
      </c>
      <c r="S13" s="310" t="s">
        <v>456</v>
      </c>
    </row>
    <row r="14" spans="1:19" ht="102" customHeight="1" x14ac:dyDescent="0.2">
      <c r="A14" s="302" t="s">
        <v>122</v>
      </c>
      <c r="B14" s="303" t="s">
        <v>20</v>
      </c>
      <c r="C14" s="315">
        <f>+F14</f>
        <v>0.09</v>
      </c>
      <c r="D14" s="287" t="s">
        <v>57</v>
      </c>
      <c r="E14" s="287"/>
      <c r="F14" s="315">
        <f>+SUM(N13:N17)</f>
        <v>0.09</v>
      </c>
      <c r="G14" s="287" t="s">
        <v>62</v>
      </c>
      <c r="H14" s="287"/>
      <c r="I14" s="287"/>
      <c r="J14" s="287"/>
      <c r="K14" s="287"/>
      <c r="L14" s="287"/>
      <c r="M14" s="317"/>
      <c r="N14" s="294"/>
      <c r="O14" s="307"/>
      <c r="P14" s="316"/>
      <c r="Q14" s="301"/>
      <c r="R14" s="294"/>
      <c r="S14" s="310"/>
    </row>
    <row r="15" spans="1:19" ht="101.25" customHeight="1" x14ac:dyDescent="0.2">
      <c r="A15" s="302"/>
      <c r="B15" s="303"/>
      <c r="C15" s="315"/>
      <c r="D15" s="287"/>
      <c r="E15" s="287"/>
      <c r="F15" s="315"/>
      <c r="G15" s="287"/>
      <c r="H15" s="150" t="s">
        <v>385</v>
      </c>
      <c r="I15" s="148" t="s">
        <v>379</v>
      </c>
      <c r="J15" s="113" t="s">
        <v>32</v>
      </c>
      <c r="K15" s="155" t="s">
        <v>378</v>
      </c>
      <c r="L15" s="113" t="s">
        <v>30</v>
      </c>
      <c r="M15" s="120">
        <v>0.6</v>
      </c>
      <c r="N15" s="115">
        <v>0.02</v>
      </c>
      <c r="O15" s="231">
        <v>1.5066600000000001</v>
      </c>
      <c r="P15" s="170">
        <f t="shared" ref="P15:P20" si="0">O15/M15</f>
        <v>2.5111000000000003</v>
      </c>
      <c r="Q15" s="115">
        <f t="shared" ref="Q15:Q20" si="1">IF(P15&lt;=100%,P15*N15,N15)</f>
        <v>0.02</v>
      </c>
      <c r="R15" s="294"/>
      <c r="S15" s="149" t="s">
        <v>478</v>
      </c>
    </row>
    <row r="16" spans="1:19" ht="86.25" customHeight="1" x14ac:dyDescent="0.2">
      <c r="A16" s="302"/>
      <c r="B16" s="303"/>
      <c r="C16" s="315"/>
      <c r="D16" s="287"/>
      <c r="E16" s="287"/>
      <c r="F16" s="315"/>
      <c r="G16" s="287"/>
      <c r="H16" s="113" t="s">
        <v>151</v>
      </c>
      <c r="I16" s="113" t="s">
        <v>153</v>
      </c>
      <c r="J16" s="113" t="s">
        <v>32</v>
      </c>
      <c r="K16" s="155" t="s">
        <v>150</v>
      </c>
      <c r="L16" s="113" t="s">
        <v>30</v>
      </c>
      <c r="M16" s="43">
        <v>2</v>
      </c>
      <c r="N16" s="115">
        <v>0.01</v>
      </c>
      <c r="O16" s="220">
        <v>1</v>
      </c>
      <c r="P16" s="171">
        <f t="shared" si="0"/>
        <v>0.5</v>
      </c>
      <c r="Q16" s="115">
        <f t="shared" si="1"/>
        <v>5.0000000000000001E-3</v>
      </c>
      <c r="R16" s="294"/>
      <c r="S16" s="38" t="s">
        <v>479</v>
      </c>
    </row>
    <row r="17" spans="1:19" ht="87.75" customHeight="1" x14ac:dyDescent="0.2">
      <c r="A17" s="302"/>
      <c r="B17" s="303"/>
      <c r="C17" s="315"/>
      <c r="D17" s="287"/>
      <c r="E17" s="287"/>
      <c r="F17" s="315"/>
      <c r="G17" s="287"/>
      <c r="H17" s="113" t="s">
        <v>152</v>
      </c>
      <c r="I17" s="113" t="s">
        <v>154</v>
      </c>
      <c r="J17" s="113" t="s">
        <v>32</v>
      </c>
      <c r="K17" s="155" t="s">
        <v>155</v>
      </c>
      <c r="L17" s="113" t="s">
        <v>30</v>
      </c>
      <c r="M17" s="43">
        <v>1</v>
      </c>
      <c r="N17" s="115">
        <v>0.01</v>
      </c>
      <c r="O17" s="220">
        <v>0</v>
      </c>
      <c r="P17" s="171">
        <f t="shared" si="0"/>
        <v>0</v>
      </c>
      <c r="Q17" s="115">
        <f t="shared" si="1"/>
        <v>0</v>
      </c>
      <c r="R17" s="294"/>
      <c r="S17" s="32" t="s">
        <v>408</v>
      </c>
    </row>
    <row r="18" spans="1:19" ht="135.75" customHeight="1" x14ac:dyDescent="0.2">
      <c r="A18" s="302"/>
      <c r="B18" s="303" t="str">
        <f>+'Objetivos Estratégicos'!B4</f>
        <v xml:space="preserve">Elevar la capacidad de innovación, calidad técnica y audiovisual en la producción, programación y distribución de los contenidos a través de las distintas plataformas. </v>
      </c>
      <c r="C18" s="315">
        <v>0.02</v>
      </c>
      <c r="D18" s="287" t="s">
        <v>164</v>
      </c>
      <c r="E18" s="287"/>
      <c r="F18" s="315">
        <v>0.02</v>
      </c>
      <c r="G18" s="287" t="s">
        <v>62</v>
      </c>
      <c r="H18" s="113" t="s">
        <v>167</v>
      </c>
      <c r="I18" s="113" t="s">
        <v>165</v>
      </c>
      <c r="J18" s="113" t="s">
        <v>32</v>
      </c>
      <c r="K18" s="155" t="s">
        <v>166</v>
      </c>
      <c r="L18" s="113" t="s">
        <v>30</v>
      </c>
      <c r="M18" s="127">
        <v>0.62</v>
      </c>
      <c r="N18" s="115">
        <v>0.01</v>
      </c>
      <c r="O18" s="221">
        <v>0.71</v>
      </c>
      <c r="P18" s="218">
        <f t="shared" si="0"/>
        <v>1.1451612903225805</v>
      </c>
      <c r="Q18" s="115">
        <f t="shared" si="1"/>
        <v>0.01</v>
      </c>
      <c r="R18" s="294">
        <f>(SUM(Q18:Q19)/36.67)*100</f>
        <v>5.4540496318516499E-2</v>
      </c>
      <c r="S18" s="74" t="s">
        <v>480</v>
      </c>
    </row>
    <row r="19" spans="1:19" ht="122.25" customHeight="1" x14ac:dyDescent="0.2">
      <c r="A19" s="302"/>
      <c r="B19" s="303"/>
      <c r="C19" s="315"/>
      <c r="D19" s="287"/>
      <c r="E19" s="287"/>
      <c r="F19" s="315"/>
      <c r="G19" s="287"/>
      <c r="H19" s="113" t="s">
        <v>168</v>
      </c>
      <c r="I19" s="113" t="s">
        <v>169</v>
      </c>
      <c r="J19" s="113" t="s">
        <v>32</v>
      </c>
      <c r="K19" s="155" t="s">
        <v>393</v>
      </c>
      <c r="L19" s="113" t="s">
        <v>30</v>
      </c>
      <c r="M19" s="127">
        <v>0.15</v>
      </c>
      <c r="N19" s="115">
        <v>0.01</v>
      </c>
      <c r="O19" s="221">
        <v>0.28249999999999997</v>
      </c>
      <c r="P19" s="171">
        <f t="shared" si="0"/>
        <v>1.8833333333333333</v>
      </c>
      <c r="Q19" s="115">
        <f t="shared" si="1"/>
        <v>0.01</v>
      </c>
      <c r="R19" s="294"/>
      <c r="S19" s="32" t="s">
        <v>470</v>
      </c>
    </row>
    <row r="20" spans="1:19" ht="13.5" customHeight="1" x14ac:dyDescent="0.2">
      <c r="A20" s="292" t="s">
        <v>156</v>
      </c>
      <c r="B20" s="292"/>
      <c r="C20" s="292"/>
      <c r="D20" s="292"/>
      <c r="E20" s="292"/>
      <c r="F20" s="292"/>
      <c r="G20" s="292"/>
      <c r="H20" s="287" t="s">
        <v>158</v>
      </c>
      <c r="I20" s="287" t="s">
        <v>159</v>
      </c>
      <c r="J20" s="287" t="s">
        <v>35</v>
      </c>
      <c r="K20" s="287" t="s">
        <v>61</v>
      </c>
      <c r="L20" s="287" t="s">
        <v>30</v>
      </c>
      <c r="M20" s="317">
        <v>1400</v>
      </c>
      <c r="N20" s="294">
        <v>0.05</v>
      </c>
      <c r="O20" s="312">
        <v>2821.3</v>
      </c>
      <c r="P20" s="316">
        <f t="shared" si="0"/>
        <v>2.0152142857142858</v>
      </c>
      <c r="Q20" s="299">
        <f t="shared" si="1"/>
        <v>0.05</v>
      </c>
      <c r="R20" s="294">
        <f>((SUM(Q20:Q24))/36.67)*100</f>
        <v>0.20907190255431327</v>
      </c>
      <c r="S20" s="310" t="s">
        <v>481</v>
      </c>
    </row>
    <row r="21" spans="1:19" ht="87" customHeight="1" x14ac:dyDescent="0.2">
      <c r="A21" s="302" t="s">
        <v>122</v>
      </c>
      <c r="B21" s="320" t="str">
        <f>+'Objetivos Estratégicos'!B4</f>
        <v xml:space="preserve">Elevar la capacidad de innovación, calidad técnica y audiovisual en la producción, programación y distribución de los contenidos a través de las distintas plataformas. </v>
      </c>
      <c r="C21" s="315">
        <f>+F21</f>
        <v>0.09</v>
      </c>
      <c r="D21" s="287" t="s">
        <v>57</v>
      </c>
      <c r="E21" s="287"/>
      <c r="F21" s="315">
        <f>+SUM(N20:N24)</f>
        <v>0.09</v>
      </c>
      <c r="G21" s="287" t="s">
        <v>62</v>
      </c>
      <c r="H21" s="287"/>
      <c r="I21" s="287"/>
      <c r="J21" s="287"/>
      <c r="K21" s="287"/>
      <c r="L21" s="287"/>
      <c r="M21" s="317"/>
      <c r="N21" s="294"/>
      <c r="O21" s="313"/>
      <c r="P21" s="316"/>
      <c r="Q21" s="301"/>
      <c r="R21" s="294"/>
      <c r="S21" s="310"/>
    </row>
    <row r="22" spans="1:19" ht="93.75" customHeight="1" x14ac:dyDescent="0.2">
      <c r="A22" s="302"/>
      <c r="B22" s="321"/>
      <c r="C22" s="315"/>
      <c r="D22" s="287"/>
      <c r="E22" s="287"/>
      <c r="F22" s="315"/>
      <c r="G22" s="287"/>
      <c r="H22" s="150" t="s">
        <v>387</v>
      </c>
      <c r="I22" s="148" t="s">
        <v>380</v>
      </c>
      <c r="J22" s="113" t="s">
        <v>32</v>
      </c>
      <c r="K22" s="155" t="s">
        <v>381</v>
      </c>
      <c r="L22" s="113" t="s">
        <v>30</v>
      </c>
      <c r="M22" s="120">
        <v>1.6</v>
      </c>
      <c r="N22" s="115">
        <v>0.02</v>
      </c>
      <c r="O22" s="233">
        <v>2.1974999999999998</v>
      </c>
      <c r="P22" s="170">
        <f>AVERAGE(O22)/M22</f>
        <v>1.3734374999999999</v>
      </c>
      <c r="Q22" s="115">
        <f t="shared" ref="Q22:Q32" si="2">IF(P22&lt;=100%,P22*N22,N22)</f>
        <v>0.02</v>
      </c>
      <c r="R22" s="294"/>
      <c r="S22" s="149" t="s">
        <v>457</v>
      </c>
    </row>
    <row r="23" spans="1:19" ht="86.25" customHeight="1" x14ac:dyDescent="0.2">
      <c r="A23" s="302"/>
      <c r="B23" s="321"/>
      <c r="C23" s="315"/>
      <c r="D23" s="287"/>
      <c r="E23" s="287"/>
      <c r="F23" s="315"/>
      <c r="G23" s="287"/>
      <c r="H23" s="113" t="s">
        <v>160</v>
      </c>
      <c r="I23" s="113" t="s">
        <v>161</v>
      </c>
      <c r="J23" s="113" t="s">
        <v>32</v>
      </c>
      <c r="K23" s="155" t="s">
        <v>150</v>
      </c>
      <c r="L23" s="113" t="s">
        <v>30</v>
      </c>
      <c r="M23" s="43">
        <v>3</v>
      </c>
      <c r="N23" s="115">
        <v>0.01</v>
      </c>
      <c r="O23" s="220">
        <v>2</v>
      </c>
      <c r="P23" s="171">
        <f t="shared" ref="P23:P31" si="3">O23/M23</f>
        <v>0.66666666666666663</v>
      </c>
      <c r="Q23" s="115">
        <f t="shared" si="2"/>
        <v>6.6666666666666662E-3</v>
      </c>
      <c r="R23" s="294"/>
      <c r="S23" s="149" t="s">
        <v>537</v>
      </c>
    </row>
    <row r="24" spans="1:19" ht="87.75" customHeight="1" x14ac:dyDescent="0.2">
      <c r="A24" s="302"/>
      <c r="B24" s="321"/>
      <c r="C24" s="315"/>
      <c r="D24" s="287"/>
      <c r="E24" s="287"/>
      <c r="F24" s="315"/>
      <c r="G24" s="287"/>
      <c r="H24" s="113" t="s">
        <v>162</v>
      </c>
      <c r="I24" s="113" t="s">
        <v>163</v>
      </c>
      <c r="J24" s="113" t="s">
        <v>32</v>
      </c>
      <c r="K24" s="155" t="s">
        <v>155</v>
      </c>
      <c r="L24" s="113" t="s">
        <v>30</v>
      </c>
      <c r="M24" s="120">
        <v>1</v>
      </c>
      <c r="N24" s="115">
        <v>0.01</v>
      </c>
      <c r="O24" s="220">
        <v>0</v>
      </c>
      <c r="P24" s="171">
        <f t="shared" si="3"/>
        <v>0</v>
      </c>
      <c r="Q24" s="115">
        <f t="shared" si="2"/>
        <v>0</v>
      </c>
      <c r="R24" s="294"/>
      <c r="S24" s="74" t="s">
        <v>458</v>
      </c>
    </row>
    <row r="25" spans="1:19" ht="96" customHeight="1" x14ac:dyDescent="0.2">
      <c r="A25" s="302"/>
      <c r="B25" s="321"/>
      <c r="C25" s="315">
        <f>+F25</f>
        <v>2.0000000000000004E-2</v>
      </c>
      <c r="D25" s="287" t="s">
        <v>175</v>
      </c>
      <c r="E25" s="287"/>
      <c r="F25" s="315">
        <f>+SUM(N25:N31)</f>
        <v>2.0000000000000004E-2</v>
      </c>
      <c r="G25" s="287" t="s">
        <v>62</v>
      </c>
      <c r="H25" s="113" t="s">
        <v>170</v>
      </c>
      <c r="I25" s="113" t="s">
        <v>171</v>
      </c>
      <c r="J25" s="113" t="s">
        <v>32</v>
      </c>
      <c r="K25" s="155" t="s">
        <v>172</v>
      </c>
      <c r="L25" s="113" t="s">
        <v>30</v>
      </c>
      <c r="M25" s="127">
        <v>0.3</v>
      </c>
      <c r="N25" s="115">
        <v>5.0000000000000001E-3</v>
      </c>
      <c r="O25" s="221">
        <v>0.24</v>
      </c>
      <c r="P25" s="218">
        <f t="shared" si="3"/>
        <v>0.8</v>
      </c>
      <c r="Q25" s="115">
        <f t="shared" si="2"/>
        <v>4.0000000000000001E-3</v>
      </c>
      <c r="R25" s="294">
        <f>(SUM(Q25:Q31)/36.67)*100</f>
        <v>2.9997272975184074E-2</v>
      </c>
      <c r="S25" s="74" t="s">
        <v>472</v>
      </c>
    </row>
    <row r="26" spans="1:19" ht="111" customHeight="1" x14ac:dyDescent="0.2">
      <c r="A26" s="302"/>
      <c r="B26" s="321"/>
      <c r="C26" s="315"/>
      <c r="D26" s="287"/>
      <c r="E26" s="287"/>
      <c r="F26" s="315"/>
      <c r="G26" s="287"/>
      <c r="H26" s="113" t="s">
        <v>173</v>
      </c>
      <c r="I26" s="113" t="s">
        <v>174</v>
      </c>
      <c r="J26" s="113" t="s">
        <v>32</v>
      </c>
      <c r="K26" s="155" t="s">
        <v>394</v>
      </c>
      <c r="L26" s="113" t="s">
        <v>30</v>
      </c>
      <c r="M26" s="127">
        <v>0.1</v>
      </c>
      <c r="N26" s="115">
        <v>5.0000000000000001E-3</v>
      </c>
      <c r="O26" s="221">
        <v>0.28000000000000003</v>
      </c>
      <c r="P26" s="171">
        <f t="shared" si="3"/>
        <v>2.8000000000000003</v>
      </c>
      <c r="Q26" s="115">
        <f t="shared" si="2"/>
        <v>5.0000000000000001E-3</v>
      </c>
      <c r="R26" s="294"/>
      <c r="S26" s="74" t="s">
        <v>471</v>
      </c>
    </row>
    <row r="27" spans="1:19" ht="111" customHeight="1" x14ac:dyDescent="0.2">
      <c r="A27" s="302"/>
      <c r="B27" s="321"/>
      <c r="C27" s="315"/>
      <c r="D27" s="287"/>
      <c r="E27" s="287"/>
      <c r="F27" s="315"/>
      <c r="G27" s="287"/>
      <c r="H27" s="113" t="s">
        <v>176</v>
      </c>
      <c r="I27" s="113" t="s">
        <v>409</v>
      </c>
      <c r="J27" s="113" t="s">
        <v>32</v>
      </c>
      <c r="K27" s="155" t="s">
        <v>177</v>
      </c>
      <c r="L27" s="113" t="s">
        <v>30</v>
      </c>
      <c r="M27" s="43">
        <v>1</v>
      </c>
      <c r="N27" s="115">
        <v>2E-3</v>
      </c>
      <c r="O27" s="217">
        <v>0</v>
      </c>
      <c r="P27" s="171">
        <f t="shared" si="3"/>
        <v>0</v>
      </c>
      <c r="Q27" s="115">
        <f t="shared" si="2"/>
        <v>0</v>
      </c>
      <c r="R27" s="294"/>
      <c r="S27" s="74" t="s">
        <v>432</v>
      </c>
    </row>
    <row r="28" spans="1:19" ht="111" customHeight="1" x14ac:dyDescent="0.2">
      <c r="A28" s="302"/>
      <c r="B28" s="321"/>
      <c r="C28" s="315"/>
      <c r="D28" s="287"/>
      <c r="E28" s="287"/>
      <c r="F28" s="315"/>
      <c r="G28" s="287"/>
      <c r="H28" s="113" t="s">
        <v>178</v>
      </c>
      <c r="I28" s="113" t="s">
        <v>410</v>
      </c>
      <c r="J28" s="113" t="s">
        <v>32</v>
      </c>
      <c r="K28" s="155" t="s">
        <v>180</v>
      </c>
      <c r="L28" s="113" t="s">
        <v>30</v>
      </c>
      <c r="M28" s="43">
        <v>1</v>
      </c>
      <c r="N28" s="115">
        <v>2E-3</v>
      </c>
      <c r="O28" s="217">
        <v>0</v>
      </c>
      <c r="P28" s="218">
        <f t="shared" si="3"/>
        <v>0</v>
      </c>
      <c r="Q28" s="115">
        <f t="shared" si="2"/>
        <v>0</v>
      </c>
      <c r="R28" s="294"/>
      <c r="S28" s="74" t="s">
        <v>433</v>
      </c>
    </row>
    <row r="29" spans="1:19" ht="111" customHeight="1" x14ac:dyDescent="0.2">
      <c r="A29" s="302"/>
      <c r="B29" s="321"/>
      <c r="C29" s="315"/>
      <c r="D29" s="287"/>
      <c r="E29" s="287"/>
      <c r="F29" s="315"/>
      <c r="G29" s="287"/>
      <c r="H29" s="113" t="s">
        <v>179</v>
      </c>
      <c r="I29" s="113" t="s">
        <v>411</v>
      </c>
      <c r="J29" s="113" t="s">
        <v>32</v>
      </c>
      <c r="K29" s="155" t="s">
        <v>180</v>
      </c>
      <c r="L29" s="113" t="s">
        <v>30</v>
      </c>
      <c r="M29" s="43">
        <v>1</v>
      </c>
      <c r="N29" s="115">
        <v>2E-3</v>
      </c>
      <c r="O29" s="217">
        <v>4</v>
      </c>
      <c r="P29" s="218">
        <f t="shared" si="3"/>
        <v>4</v>
      </c>
      <c r="Q29" s="115">
        <f t="shared" si="2"/>
        <v>2E-3</v>
      </c>
      <c r="R29" s="294"/>
      <c r="S29" s="32" t="s">
        <v>434</v>
      </c>
    </row>
    <row r="30" spans="1:19" ht="111" customHeight="1" x14ac:dyDescent="0.2">
      <c r="A30" s="302"/>
      <c r="B30" s="321"/>
      <c r="C30" s="315"/>
      <c r="D30" s="287"/>
      <c r="E30" s="287"/>
      <c r="F30" s="315"/>
      <c r="G30" s="287"/>
      <c r="H30" s="113" t="s">
        <v>181</v>
      </c>
      <c r="I30" s="113" t="s">
        <v>182</v>
      </c>
      <c r="J30" s="113" t="s">
        <v>32</v>
      </c>
      <c r="K30" s="155" t="s">
        <v>395</v>
      </c>
      <c r="L30" s="113" t="s">
        <v>30</v>
      </c>
      <c r="M30" s="43">
        <v>1</v>
      </c>
      <c r="N30" s="115">
        <v>2E-3</v>
      </c>
      <c r="O30" s="217">
        <v>0</v>
      </c>
      <c r="P30" s="218">
        <f t="shared" si="3"/>
        <v>0</v>
      </c>
      <c r="Q30" s="115">
        <f t="shared" si="2"/>
        <v>0</v>
      </c>
      <c r="R30" s="294"/>
      <c r="S30" s="32" t="s">
        <v>435</v>
      </c>
    </row>
    <row r="31" spans="1:19" ht="111" customHeight="1" x14ac:dyDescent="0.2">
      <c r="A31" s="302"/>
      <c r="B31" s="322"/>
      <c r="C31" s="315"/>
      <c r="D31" s="287"/>
      <c r="E31" s="287"/>
      <c r="F31" s="315"/>
      <c r="G31" s="287"/>
      <c r="H31" s="113" t="s">
        <v>170</v>
      </c>
      <c r="I31" s="113" t="s">
        <v>183</v>
      </c>
      <c r="J31" s="113" t="s">
        <v>32</v>
      </c>
      <c r="K31" s="155" t="s">
        <v>184</v>
      </c>
      <c r="L31" s="113" t="s">
        <v>30</v>
      </c>
      <c r="M31" s="43">
        <v>600</v>
      </c>
      <c r="N31" s="115">
        <v>2E-3</v>
      </c>
      <c r="O31" s="217">
        <v>0</v>
      </c>
      <c r="P31" s="218">
        <f t="shared" si="3"/>
        <v>0</v>
      </c>
      <c r="Q31" s="115">
        <f t="shared" si="2"/>
        <v>0</v>
      </c>
      <c r="R31" s="294"/>
      <c r="S31" s="74" t="s">
        <v>436</v>
      </c>
    </row>
    <row r="32" spans="1:19" ht="13.5" customHeight="1" x14ac:dyDescent="0.2">
      <c r="A32" s="292" t="s">
        <v>185</v>
      </c>
      <c r="B32" s="292"/>
      <c r="C32" s="292"/>
      <c r="D32" s="292"/>
      <c r="E32" s="292"/>
      <c r="F32" s="292"/>
      <c r="G32" s="292"/>
      <c r="H32" s="287" t="s">
        <v>186</v>
      </c>
      <c r="I32" s="287" t="s">
        <v>187</v>
      </c>
      <c r="J32" s="287" t="s">
        <v>35</v>
      </c>
      <c r="K32" s="287" t="s">
        <v>61</v>
      </c>
      <c r="L32" s="287" t="s">
        <v>30</v>
      </c>
      <c r="M32" s="323">
        <v>1600</v>
      </c>
      <c r="N32" s="294">
        <v>0.04</v>
      </c>
      <c r="O32" s="307">
        <v>3985.2</v>
      </c>
      <c r="P32" s="316">
        <f>SUM(O32)/M32</f>
        <v>2.4907499999999998</v>
      </c>
      <c r="Q32" s="299">
        <f t="shared" si="2"/>
        <v>0.04</v>
      </c>
      <c r="R32" s="294">
        <f>(SUM(Q32:Q36)/36.67)*100</f>
        <v>0.19089173711480772</v>
      </c>
      <c r="S32" s="310" t="s">
        <v>437</v>
      </c>
    </row>
    <row r="33" spans="1:19" ht="75.75" customHeight="1" x14ac:dyDescent="0.2">
      <c r="A33" s="302" t="s">
        <v>122</v>
      </c>
      <c r="B33" s="320" t="str">
        <f>+'Objetivos Estratégicos'!B4</f>
        <v xml:space="preserve">Elevar la capacidad de innovación, calidad técnica y audiovisual en la producción, programación y distribución de los contenidos a través de las distintas plataformas. </v>
      </c>
      <c r="C33" s="315">
        <f>+F33</f>
        <v>7.9999999999999988E-2</v>
      </c>
      <c r="D33" s="287" t="s">
        <v>57</v>
      </c>
      <c r="E33" s="287"/>
      <c r="F33" s="315">
        <f>+SUM(N32:N36)</f>
        <v>7.9999999999999988E-2</v>
      </c>
      <c r="G33" s="287" t="s">
        <v>62</v>
      </c>
      <c r="H33" s="287"/>
      <c r="I33" s="287"/>
      <c r="J33" s="287"/>
      <c r="K33" s="287"/>
      <c r="L33" s="287"/>
      <c r="M33" s="323"/>
      <c r="N33" s="294"/>
      <c r="O33" s="307"/>
      <c r="P33" s="316"/>
      <c r="Q33" s="301"/>
      <c r="R33" s="294"/>
      <c r="S33" s="310"/>
    </row>
    <row r="34" spans="1:19" ht="93.75" customHeight="1" x14ac:dyDescent="0.2">
      <c r="A34" s="302"/>
      <c r="B34" s="321"/>
      <c r="C34" s="315"/>
      <c r="D34" s="287"/>
      <c r="E34" s="287"/>
      <c r="F34" s="315"/>
      <c r="G34" s="287"/>
      <c r="H34" s="150" t="s">
        <v>388</v>
      </c>
      <c r="I34" s="148" t="s">
        <v>382</v>
      </c>
      <c r="J34" s="113" t="s">
        <v>32</v>
      </c>
      <c r="K34" s="155" t="s">
        <v>383</v>
      </c>
      <c r="L34" s="113" t="s">
        <v>30</v>
      </c>
      <c r="M34" s="120">
        <v>1.6</v>
      </c>
      <c r="N34" s="115">
        <v>0.02</v>
      </c>
      <c r="O34" s="217">
        <v>2.13</v>
      </c>
      <c r="P34" s="218">
        <f>O34/M34</f>
        <v>1.3312499999999998</v>
      </c>
      <c r="Q34" s="115">
        <f t="shared" ref="Q34:Q44" si="4">IF(P34&lt;=100%,P34*N34,N34)</f>
        <v>0.02</v>
      </c>
      <c r="R34" s="294"/>
      <c r="S34" s="149" t="s">
        <v>459</v>
      </c>
    </row>
    <row r="35" spans="1:19" ht="115.5" customHeight="1" x14ac:dyDescent="0.2">
      <c r="A35" s="302"/>
      <c r="B35" s="321"/>
      <c r="C35" s="315"/>
      <c r="D35" s="287"/>
      <c r="E35" s="287"/>
      <c r="F35" s="315"/>
      <c r="G35" s="287"/>
      <c r="H35" s="113" t="s">
        <v>188</v>
      </c>
      <c r="I35" s="113" t="s">
        <v>189</v>
      </c>
      <c r="J35" s="113" t="s">
        <v>32</v>
      </c>
      <c r="K35" s="155" t="s">
        <v>150</v>
      </c>
      <c r="L35" s="113" t="s">
        <v>30</v>
      </c>
      <c r="M35" s="43">
        <v>1</v>
      </c>
      <c r="N35" s="115">
        <v>0.01</v>
      </c>
      <c r="O35" s="220">
        <v>2</v>
      </c>
      <c r="P35" s="171">
        <f>+IF((SUM(O35)&gt;=1),100%,(SUM(O35)/M35))</f>
        <v>1</v>
      </c>
      <c r="Q35" s="115">
        <f t="shared" si="4"/>
        <v>0.01</v>
      </c>
      <c r="R35" s="294"/>
      <c r="S35" s="76" t="s">
        <v>431</v>
      </c>
    </row>
    <row r="36" spans="1:19" ht="87.75" customHeight="1" x14ac:dyDescent="0.2">
      <c r="A36" s="302"/>
      <c r="B36" s="321"/>
      <c r="C36" s="315"/>
      <c r="D36" s="287"/>
      <c r="E36" s="287"/>
      <c r="F36" s="315"/>
      <c r="G36" s="287"/>
      <c r="H36" s="113" t="s">
        <v>190</v>
      </c>
      <c r="I36" s="113" t="s">
        <v>191</v>
      </c>
      <c r="J36" s="113" t="s">
        <v>32</v>
      </c>
      <c r="K36" s="155" t="s">
        <v>155</v>
      </c>
      <c r="L36" s="113" t="s">
        <v>30</v>
      </c>
      <c r="M36" s="43">
        <v>1</v>
      </c>
      <c r="N36" s="115">
        <v>0.01</v>
      </c>
      <c r="O36" s="220">
        <v>0</v>
      </c>
      <c r="P36" s="218">
        <f>+IF((SUM(O36)&gt;=1),100%,(SUM(O36)/M36))</f>
        <v>0</v>
      </c>
      <c r="Q36" s="115">
        <f t="shared" si="4"/>
        <v>0</v>
      </c>
      <c r="R36" s="294"/>
      <c r="S36" s="32" t="s">
        <v>438</v>
      </c>
    </row>
    <row r="37" spans="1:19" ht="96" customHeight="1" x14ac:dyDescent="0.2">
      <c r="A37" s="302"/>
      <c r="B37" s="321"/>
      <c r="C37" s="315">
        <f>+F37</f>
        <v>2.0000000000000004E-2</v>
      </c>
      <c r="D37" s="287" t="s">
        <v>175</v>
      </c>
      <c r="E37" s="287"/>
      <c r="F37" s="315">
        <f>+SUM(N37:N43)</f>
        <v>2.0000000000000004E-2</v>
      </c>
      <c r="G37" s="287" t="s">
        <v>62</v>
      </c>
      <c r="H37" s="113" t="s">
        <v>192</v>
      </c>
      <c r="I37" s="113" t="s">
        <v>193</v>
      </c>
      <c r="J37" s="113" t="s">
        <v>32</v>
      </c>
      <c r="K37" s="155" t="s">
        <v>194</v>
      </c>
      <c r="L37" s="113" t="s">
        <v>30</v>
      </c>
      <c r="M37" s="127">
        <v>0.3</v>
      </c>
      <c r="N37" s="115">
        <v>5.0000000000000001E-3</v>
      </c>
      <c r="O37" s="221">
        <v>3.5000000000000003E-2</v>
      </c>
      <c r="P37" s="218">
        <f>O37/M37</f>
        <v>0.11666666666666668</v>
      </c>
      <c r="Q37" s="115">
        <f t="shared" si="4"/>
        <v>5.8333333333333338E-4</v>
      </c>
      <c r="R37" s="294">
        <f>(SUM(Q37:Q43)/36.67)*100</f>
        <v>2.7497500227252065E-2</v>
      </c>
      <c r="S37" s="162" t="s">
        <v>473</v>
      </c>
    </row>
    <row r="38" spans="1:19" ht="111" customHeight="1" x14ac:dyDescent="0.2">
      <c r="A38" s="302"/>
      <c r="B38" s="321"/>
      <c r="C38" s="315"/>
      <c r="D38" s="287"/>
      <c r="E38" s="287"/>
      <c r="F38" s="315"/>
      <c r="G38" s="287"/>
      <c r="H38" s="113" t="s">
        <v>195</v>
      </c>
      <c r="I38" s="113" t="s">
        <v>196</v>
      </c>
      <c r="J38" s="113" t="s">
        <v>32</v>
      </c>
      <c r="K38" s="155" t="s">
        <v>396</v>
      </c>
      <c r="L38" s="113" t="s">
        <v>30</v>
      </c>
      <c r="M38" s="127">
        <v>0.15</v>
      </c>
      <c r="N38" s="115">
        <v>5.0000000000000001E-3</v>
      </c>
      <c r="O38" s="221">
        <v>0.2</v>
      </c>
      <c r="P38" s="218">
        <f>O38/M38</f>
        <v>1.3333333333333335</v>
      </c>
      <c r="Q38" s="115">
        <f t="shared" si="4"/>
        <v>5.0000000000000001E-3</v>
      </c>
      <c r="R38" s="294"/>
      <c r="S38" s="162" t="s">
        <v>482</v>
      </c>
    </row>
    <row r="39" spans="1:19" ht="111" customHeight="1" x14ac:dyDescent="0.2">
      <c r="A39" s="302"/>
      <c r="B39" s="321"/>
      <c r="C39" s="315"/>
      <c r="D39" s="287"/>
      <c r="E39" s="287"/>
      <c r="F39" s="315"/>
      <c r="G39" s="287"/>
      <c r="H39" s="113" t="s">
        <v>197</v>
      </c>
      <c r="I39" s="113" t="s">
        <v>412</v>
      </c>
      <c r="J39" s="113" t="s">
        <v>32</v>
      </c>
      <c r="K39" s="155" t="s">
        <v>198</v>
      </c>
      <c r="L39" s="113" t="s">
        <v>30</v>
      </c>
      <c r="M39" s="43">
        <v>1</v>
      </c>
      <c r="N39" s="115">
        <v>2E-3</v>
      </c>
      <c r="O39" s="217">
        <v>0</v>
      </c>
      <c r="P39" s="218">
        <f>O39/M39</f>
        <v>0</v>
      </c>
      <c r="Q39" s="115">
        <f t="shared" si="4"/>
        <v>0</v>
      </c>
      <c r="R39" s="294"/>
      <c r="S39" s="74" t="s">
        <v>460</v>
      </c>
    </row>
    <row r="40" spans="1:19" ht="111" customHeight="1" x14ac:dyDescent="0.2">
      <c r="A40" s="302"/>
      <c r="B40" s="321"/>
      <c r="C40" s="315"/>
      <c r="D40" s="287"/>
      <c r="E40" s="287"/>
      <c r="F40" s="315"/>
      <c r="G40" s="287"/>
      <c r="H40" s="113" t="s">
        <v>199</v>
      </c>
      <c r="I40" s="113" t="s">
        <v>413</v>
      </c>
      <c r="J40" s="113" t="s">
        <v>32</v>
      </c>
      <c r="K40" s="155" t="s">
        <v>200</v>
      </c>
      <c r="L40" s="113" t="s">
        <v>30</v>
      </c>
      <c r="M40" s="43">
        <v>2</v>
      </c>
      <c r="N40" s="115">
        <v>2E-3</v>
      </c>
      <c r="O40" s="217">
        <v>24</v>
      </c>
      <c r="P40" s="218">
        <f>+IF((SUM(O40)&gt;=1),100%,(SUM(O40)/M40))</f>
        <v>1</v>
      </c>
      <c r="Q40" s="115">
        <f t="shared" si="4"/>
        <v>2E-3</v>
      </c>
      <c r="R40" s="294"/>
      <c r="S40" s="74" t="s">
        <v>461</v>
      </c>
    </row>
    <row r="41" spans="1:19" ht="111" customHeight="1" x14ac:dyDescent="0.2">
      <c r="A41" s="302"/>
      <c r="B41" s="321"/>
      <c r="C41" s="315"/>
      <c r="D41" s="287"/>
      <c r="E41" s="287"/>
      <c r="F41" s="315"/>
      <c r="G41" s="287"/>
      <c r="H41" s="113" t="s">
        <v>201</v>
      </c>
      <c r="I41" s="113" t="s">
        <v>414</v>
      </c>
      <c r="J41" s="113" t="s">
        <v>32</v>
      </c>
      <c r="K41" s="155" t="s">
        <v>200</v>
      </c>
      <c r="L41" s="113" t="s">
        <v>30</v>
      </c>
      <c r="M41" s="43">
        <v>1</v>
      </c>
      <c r="N41" s="115">
        <v>2E-3</v>
      </c>
      <c r="O41" s="217">
        <v>45</v>
      </c>
      <c r="P41" s="218">
        <f>+IF((SUM(O41)&gt;=1),100%,(SUM(O41)/M41))</f>
        <v>1</v>
      </c>
      <c r="Q41" s="115">
        <f t="shared" si="4"/>
        <v>2E-3</v>
      </c>
      <c r="R41" s="294"/>
      <c r="S41" s="32" t="s">
        <v>439</v>
      </c>
    </row>
    <row r="42" spans="1:19" ht="111" customHeight="1" x14ac:dyDescent="0.2">
      <c r="A42" s="302"/>
      <c r="B42" s="321"/>
      <c r="C42" s="315"/>
      <c r="D42" s="287"/>
      <c r="E42" s="287"/>
      <c r="F42" s="315"/>
      <c r="G42" s="287"/>
      <c r="H42" s="113" t="s">
        <v>181</v>
      </c>
      <c r="I42" s="113" t="s">
        <v>202</v>
      </c>
      <c r="J42" s="113" t="s">
        <v>32</v>
      </c>
      <c r="K42" s="155" t="s">
        <v>397</v>
      </c>
      <c r="L42" s="113" t="s">
        <v>30</v>
      </c>
      <c r="M42" s="43">
        <v>4</v>
      </c>
      <c r="N42" s="115">
        <v>2E-3</v>
      </c>
      <c r="O42" s="217">
        <v>1</v>
      </c>
      <c r="P42" s="171">
        <f>O42/M42</f>
        <v>0.25</v>
      </c>
      <c r="Q42" s="115">
        <f t="shared" si="4"/>
        <v>5.0000000000000001E-4</v>
      </c>
      <c r="R42" s="294"/>
      <c r="S42" s="32" t="s">
        <v>462</v>
      </c>
    </row>
    <row r="43" spans="1:19" ht="111" customHeight="1" x14ac:dyDescent="0.2">
      <c r="A43" s="302"/>
      <c r="B43" s="322"/>
      <c r="C43" s="315"/>
      <c r="D43" s="287"/>
      <c r="E43" s="287"/>
      <c r="F43" s="315"/>
      <c r="G43" s="287"/>
      <c r="H43" s="113" t="s">
        <v>192</v>
      </c>
      <c r="I43" s="113" t="s">
        <v>203</v>
      </c>
      <c r="J43" s="113" t="s">
        <v>32</v>
      </c>
      <c r="K43" s="155" t="s">
        <v>204</v>
      </c>
      <c r="L43" s="113" t="s">
        <v>30</v>
      </c>
      <c r="M43" s="43">
        <v>3250</v>
      </c>
      <c r="N43" s="115">
        <v>2E-3</v>
      </c>
      <c r="O43" s="217">
        <v>0</v>
      </c>
      <c r="P43" s="218">
        <f>O43/M43</f>
        <v>0</v>
      </c>
      <c r="Q43" s="115">
        <f t="shared" si="4"/>
        <v>0</v>
      </c>
      <c r="R43" s="294"/>
      <c r="S43" s="74" t="s">
        <v>463</v>
      </c>
    </row>
    <row r="44" spans="1:19" ht="12.75" customHeight="1" x14ac:dyDescent="0.2">
      <c r="A44" s="292" t="s">
        <v>226</v>
      </c>
      <c r="B44" s="292"/>
      <c r="C44" s="292"/>
      <c r="D44" s="292"/>
      <c r="E44" s="292"/>
      <c r="F44" s="292"/>
      <c r="G44" s="292"/>
      <c r="H44" s="287" t="s">
        <v>224</v>
      </c>
      <c r="I44" s="287" t="s">
        <v>225</v>
      </c>
      <c r="J44" s="287" t="s">
        <v>35</v>
      </c>
      <c r="K44" s="287" t="s">
        <v>483</v>
      </c>
      <c r="L44" s="287" t="s">
        <v>30</v>
      </c>
      <c r="M44" s="298">
        <v>2190</v>
      </c>
      <c r="N44" s="294">
        <v>0.02</v>
      </c>
      <c r="O44" s="312">
        <v>2041</v>
      </c>
      <c r="P44" s="316">
        <f>O44/M44</f>
        <v>0.93196347031963467</v>
      </c>
      <c r="Q44" s="299">
        <f t="shared" si="4"/>
        <v>1.8639269406392694E-2</v>
      </c>
      <c r="R44" s="294">
        <f>(Q44/36.67)*100</f>
        <v>5.0829750221959895E-2</v>
      </c>
      <c r="S44" s="310" t="s">
        <v>464</v>
      </c>
    </row>
    <row r="45" spans="1:19" ht="87.75" customHeight="1" x14ac:dyDescent="0.2">
      <c r="A45" s="121" t="s">
        <v>122</v>
      </c>
      <c r="B45" s="122" t="str">
        <f>+'Objetivos Estratégicos'!B4</f>
        <v xml:space="preserve">Elevar la capacidad de innovación, calidad técnica y audiovisual en la producción, programación y distribución de los contenidos a través de las distintas plataformas. </v>
      </c>
      <c r="C45" s="115">
        <f>+F45</f>
        <v>0.02</v>
      </c>
      <c r="D45" s="287" t="s">
        <v>484</v>
      </c>
      <c r="E45" s="287"/>
      <c r="F45" s="115">
        <f>+N44</f>
        <v>0.02</v>
      </c>
      <c r="G45" s="113" t="s">
        <v>62</v>
      </c>
      <c r="H45" s="293"/>
      <c r="I45" s="293"/>
      <c r="J45" s="293"/>
      <c r="K45" s="293"/>
      <c r="L45" s="293"/>
      <c r="M45" s="293"/>
      <c r="N45" s="293"/>
      <c r="O45" s="313"/>
      <c r="P45" s="328"/>
      <c r="Q45" s="301"/>
      <c r="R45" s="294"/>
      <c r="S45" s="310"/>
    </row>
    <row r="46" spans="1:19" ht="15" customHeight="1" x14ac:dyDescent="0.2">
      <c r="A46" s="292" t="s">
        <v>255</v>
      </c>
      <c r="B46" s="292"/>
      <c r="C46" s="292"/>
      <c r="D46" s="292"/>
      <c r="E46" s="292"/>
      <c r="F46" s="292"/>
      <c r="G46" s="292"/>
      <c r="H46" s="324" t="s">
        <v>274</v>
      </c>
      <c r="I46" s="324" t="s">
        <v>278</v>
      </c>
      <c r="J46" s="324" t="s">
        <v>35</v>
      </c>
      <c r="K46" s="324" t="s">
        <v>363</v>
      </c>
      <c r="L46" s="324" t="s">
        <v>30</v>
      </c>
      <c r="M46" s="326">
        <v>1</v>
      </c>
      <c r="N46" s="299">
        <v>1.1111111109999999E-3</v>
      </c>
      <c r="O46" s="312">
        <v>0</v>
      </c>
      <c r="P46" s="316">
        <f>O46/M46</f>
        <v>0</v>
      </c>
      <c r="Q46" s="299">
        <f>IF(P46&lt;=100%,P46*N46,N46)</f>
        <v>0</v>
      </c>
      <c r="R46" s="299">
        <f>+((SUM(Q46:Q52))/36.67)*100</f>
        <v>2.840650849638669E-3</v>
      </c>
      <c r="S46" s="331" t="s">
        <v>440</v>
      </c>
    </row>
    <row r="47" spans="1:19" ht="58.5" customHeight="1" x14ac:dyDescent="0.2">
      <c r="A47" s="283" t="s">
        <v>122</v>
      </c>
      <c r="B47" s="320" t="str">
        <f>+'Objetivos Estratégicos'!B5</f>
        <v xml:space="preserve">Realizar alianzas estratégicas con la Alcaldía y sus entes descentralizados para temas de comunicación a través de la Agencia y Central de Medios de Telemedellín. </v>
      </c>
      <c r="C47" s="294">
        <f>SUM(F47:F52)</f>
        <v>6.666666665999999E-3</v>
      </c>
      <c r="D47" s="329" t="s">
        <v>272</v>
      </c>
      <c r="E47" s="330"/>
      <c r="F47" s="299">
        <f>+SUM(N46:N52)</f>
        <v>6.666666665999999E-3</v>
      </c>
      <c r="G47" s="113" t="s">
        <v>62</v>
      </c>
      <c r="H47" s="325"/>
      <c r="I47" s="325"/>
      <c r="J47" s="325"/>
      <c r="K47" s="325"/>
      <c r="L47" s="325"/>
      <c r="M47" s="327"/>
      <c r="N47" s="301"/>
      <c r="O47" s="313"/>
      <c r="P47" s="328"/>
      <c r="Q47" s="301"/>
      <c r="R47" s="300"/>
      <c r="S47" s="332"/>
    </row>
    <row r="48" spans="1:19" ht="76.5" customHeight="1" x14ac:dyDescent="0.2">
      <c r="A48" s="333"/>
      <c r="B48" s="321"/>
      <c r="C48" s="294"/>
      <c r="D48" s="329" t="s">
        <v>273</v>
      </c>
      <c r="E48" s="330"/>
      <c r="F48" s="300"/>
      <c r="G48" s="113" t="s">
        <v>62</v>
      </c>
      <c r="H48" s="123" t="s">
        <v>275</v>
      </c>
      <c r="I48" s="83" t="s">
        <v>279</v>
      </c>
      <c r="J48" s="123" t="s">
        <v>35</v>
      </c>
      <c r="K48" s="156" t="s">
        <v>364</v>
      </c>
      <c r="L48" s="123" t="s">
        <v>30</v>
      </c>
      <c r="M48" s="126">
        <v>1</v>
      </c>
      <c r="N48" s="115">
        <v>1.1111111109999999E-3</v>
      </c>
      <c r="O48" s="223">
        <v>0</v>
      </c>
      <c r="P48" s="171">
        <f>O48/M48</f>
        <v>0</v>
      </c>
      <c r="Q48" s="115">
        <f>IF(P48&lt;=100%,P48*N48,N48)</f>
        <v>0</v>
      </c>
      <c r="R48" s="300"/>
      <c r="S48" s="188" t="s">
        <v>440</v>
      </c>
    </row>
    <row r="49" spans="1:19" ht="81.75" customHeight="1" x14ac:dyDescent="0.2">
      <c r="A49" s="333"/>
      <c r="B49" s="321"/>
      <c r="C49" s="294"/>
      <c r="D49" s="329" t="s">
        <v>415</v>
      </c>
      <c r="E49" s="330"/>
      <c r="F49" s="300"/>
      <c r="G49" s="113" t="s">
        <v>62</v>
      </c>
      <c r="H49" s="123" t="s">
        <v>280</v>
      </c>
      <c r="I49" s="83" t="s">
        <v>281</v>
      </c>
      <c r="J49" s="123" t="s">
        <v>35</v>
      </c>
      <c r="K49" s="156" t="s">
        <v>365</v>
      </c>
      <c r="L49" s="123" t="s">
        <v>30</v>
      </c>
      <c r="M49" s="126">
        <v>1</v>
      </c>
      <c r="N49" s="115">
        <v>1.1111111109999999E-3</v>
      </c>
      <c r="O49" s="223">
        <v>0</v>
      </c>
      <c r="P49" s="218">
        <f>O49/M49</f>
        <v>0</v>
      </c>
      <c r="Q49" s="115">
        <f>IF(P49&lt;=100%,P49*N49,N49)</f>
        <v>0</v>
      </c>
      <c r="R49" s="300"/>
      <c r="S49" s="188" t="s">
        <v>440</v>
      </c>
    </row>
    <row r="50" spans="1:19" ht="100.5" customHeight="1" x14ac:dyDescent="0.2">
      <c r="A50" s="333"/>
      <c r="B50" s="321"/>
      <c r="C50" s="294"/>
      <c r="D50" s="329" t="s">
        <v>270</v>
      </c>
      <c r="E50" s="330"/>
      <c r="F50" s="300"/>
      <c r="G50" s="113" t="s">
        <v>62</v>
      </c>
      <c r="H50" s="123" t="s">
        <v>276</v>
      </c>
      <c r="I50" s="83" t="s">
        <v>389</v>
      </c>
      <c r="J50" s="123" t="s">
        <v>35</v>
      </c>
      <c r="K50" s="156" t="s">
        <v>360</v>
      </c>
      <c r="L50" s="123" t="s">
        <v>30</v>
      </c>
      <c r="M50" s="127">
        <v>0.8</v>
      </c>
      <c r="N50" s="115">
        <v>1.1111111109999999E-3</v>
      </c>
      <c r="O50" s="224">
        <v>0.75</v>
      </c>
      <c r="P50" s="232">
        <f>O50/M50</f>
        <v>0.9375</v>
      </c>
      <c r="Q50" s="115">
        <f>IF(P50&lt;=100%,P50*N50,N50)</f>
        <v>1.0416666665625E-3</v>
      </c>
      <c r="R50" s="300"/>
      <c r="S50" s="74" t="s">
        <v>465</v>
      </c>
    </row>
    <row r="51" spans="1:19" ht="102" customHeight="1" x14ac:dyDescent="0.2">
      <c r="A51" s="333"/>
      <c r="B51" s="321"/>
      <c r="C51" s="294"/>
      <c r="D51" s="329" t="s">
        <v>271</v>
      </c>
      <c r="E51" s="330"/>
      <c r="F51" s="300"/>
      <c r="G51" s="113" t="s">
        <v>62</v>
      </c>
      <c r="H51" s="123" t="s">
        <v>277</v>
      </c>
      <c r="I51" s="83" t="s">
        <v>390</v>
      </c>
      <c r="J51" s="123" t="s">
        <v>35</v>
      </c>
      <c r="K51" s="156" t="s">
        <v>362</v>
      </c>
      <c r="L51" s="123" t="s">
        <v>30</v>
      </c>
      <c r="M51" s="127">
        <v>0.8</v>
      </c>
      <c r="N51" s="115">
        <v>1.1111111109999999E-3</v>
      </c>
      <c r="O51" s="224">
        <v>0</v>
      </c>
      <c r="P51" s="171">
        <f>O51/M51</f>
        <v>0</v>
      </c>
      <c r="Q51" s="115">
        <f>IF(P51&lt;=100%,P51*N51,N51)</f>
        <v>0</v>
      </c>
      <c r="R51" s="300"/>
      <c r="S51" s="74" t="s">
        <v>466</v>
      </c>
    </row>
    <row r="52" spans="1:19" ht="102" customHeight="1" x14ac:dyDescent="0.2">
      <c r="A52" s="284"/>
      <c r="B52" s="322"/>
      <c r="C52" s="294"/>
      <c r="D52" s="329" t="s">
        <v>282</v>
      </c>
      <c r="E52" s="330"/>
      <c r="F52" s="301"/>
      <c r="G52" s="113" t="s">
        <v>62</v>
      </c>
      <c r="H52" s="123" t="s">
        <v>283</v>
      </c>
      <c r="I52" s="83" t="s">
        <v>391</v>
      </c>
      <c r="J52" s="123" t="s">
        <v>35</v>
      </c>
      <c r="K52" s="156" t="s">
        <v>361</v>
      </c>
      <c r="L52" s="123" t="s">
        <v>30</v>
      </c>
      <c r="M52" s="127">
        <v>0.8</v>
      </c>
      <c r="N52" s="115">
        <v>1.1111111109999999E-3</v>
      </c>
      <c r="O52" s="224">
        <v>0</v>
      </c>
      <c r="P52" s="218">
        <f>O52/M52</f>
        <v>0</v>
      </c>
      <c r="Q52" s="115">
        <f>IF(P52&lt;=100%,P52*N52,N52)</f>
        <v>0</v>
      </c>
      <c r="R52" s="301"/>
      <c r="S52" s="74" t="s">
        <v>467</v>
      </c>
    </row>
    <row r="53" spans="1:19" ht="13.5" customHeight="1" x14ac:dyDescent="0.2">
      <c r="A53" s="304" t="s">
        <v>12</v>
      </c>
      <c r="B53" s="304"/>
      <c r="C53" s="304"/>
      <c r="D53" s="304"/>
      <c r="E53" s="304"/>
      <c r="F53" s="304"/>
      <c r="G53" s="304"/>
      <c r="H53" s="304"/>
      <c r="I53" s="304"/>
      <c r="J53" s="304"/>
      <c r="K53" s="304"/>
      <c r="L53" s="304"/>
      <c r="M53" s="304"/>
      <c r="N53" s="304"/>
      <c r="O53" s="304"/>
      <c r="P53" s="304"/>
      <c r="Q53" s="304"/>
      <c r="R53" s="54">
        <f>SUM(R11:R52)</f>
        <v>0.78801922650305278</v>
      </c>
      <c r="S53" s="216"/>
    </row>
    <row r="55" spans="1:19" ht="36" x14ac:dyDescent="0.2">
      <c r="S55" s="129" t="s">
        <v>366</v>
      </c>
    </row>
    <row r="56" spans="1:19" x14ac:dyDescent="0.2">
      <c r="C56" s="106">
        <f>+C47+C45+C37+C33+C25+C21+C18+C14+C12</f>
        <v>0.36666666666600001</v>
      </c>
      <c r="N56" s="106"/>
    </row>
  </sheetData>
  <mergeCells count="145">
    <mergeCell ref="S46:S47"/>
    <mergeCell ref="A47:A52"/>
    <mergeCell ref="B47:B52"/>
    <mergeCell ref="P46:P47"/>
    <mergeCell ref="Q46:Q47"/>
    <mergeCell ref="D48:E48"/>
    <mergeCell ref="D49:E49"/>
    <mergeCell ref="D52:E52"/>
    <mergeCell ref="A53:Q53"/>
    <mergeCell ref="D50:E50"/>
    <mergeCell ref="D51:E51"/>
    <mergeCell ref="R46:R52"/>
    <mergeCell ref="I44:I45"/>
    <mergeCell ref="J44:J45"/>
    <mergeCell ref="K44:K45"/>
    <mergeCell ref="L44:L45"/>
    <mergeCell ref="S44:S45"/>
    <mergeCell ref="D45:E45"/>
    <mergeCell ref="A46:G46"/>
    <mergeCell ref="H46:H47"/>
    <mergeCell ref="I46:I47"/>
    <mergeCell ref="J46:J47"/>
    <mergeCell ref="K46:K47"/>
    <mergeCell ref="L46:L47"/>
    <mergeCell ref="M46:M47"/>
    <mergeCell ref="N46:N47"/>
    <mergeCell ref="P44:P45"/>
    <mergeCell ref="Q44:Q45"/>
    <mergeCell ref="R44:R45"/>
    <mergeCell ref="M44:M45"/>
    <mergeCell ref="N44:N45"/>
    <mergeCell ref="A44:G44"/>
    <mergeCell ref="H44:H45"/>
    <mergeCell ref="C47:C52"/>
    <mergeCell ref="D47:E47"/>
    <mergeCell ref="F47:F52"/>
    <mergeCell ref="A32:G32"/>
    <mergeCell ref="H32:H33"/>
    <mergeCell ref="I32:I33"/>
    <mergeCell ref="J32:J33"/>
    <mergeCell ref="K32:K33"/>
    <mergeCell ref="L32:L33"/>
    <mergeCell ref="S32:S33"/>
    <mergeCell ref="A33:A43"/>
    <mergeCell ref="B33:B43"/>
    <mergeCell ref="C33:C36"/>
    <mergeCell ref="D33:E36"/>
    <mergeCell ref="F33:F36"/>
    <mergeCell ref="G33:G36"/>
    <mergeCell ref="P32:P33"/>
    <mergeCell ref="Q32:Q33"/>
    <mergeCell ref="R32:R36"/>
    <mergeCell ref="M32:M33"/>
    <mergeCell ref="N32:N33"/>
    <mergeCell ref="O32:O33"/>
    <mergeCell ref="C37:C43"/>
    <mergeCell ref="D37:E43"/>
    <mergeCell ref="F37:F43"/>
    <mergeCell ref="G37:G43"/>
    <mergeCell ref="R37:R43"/>
    <mergeCell ref="Q20:Q21"/>
    <mergeCell ref="R20:R24"/>
    <mergeCell ref="M20:M21"/>
    <mergeCell ref="N20:N21"/>
    <mergeCell ref="O20:O21"/>
    <mergeCell ref="C25:C31"/>
    <mergeCell ref="D25:E31"/>
    <mergeCell ref="F25:F31"/>
    <mergeCell ref="G25:G31"/>
    <mergeCell ref="R25:R31"/>
    <mergeCell ref="A20:G20"/>
    <mergeCell ref="H20:H21"/>
    <mergeCell ref="I20:I21"/>
    <mergeCell ref="J20:J21"/>
    <mergeCell ref="K20:K21"/>
    <mergeCell ref="L20:L21"/>
    <mergeCell ref="A14:A19"/>
    <mergeCell ref="B14:B17"/>
    <mergeCell ref="C14:C17"/>
    <mergeCell ref="D14:E17"/>
    <mergeCell ref="F14:F17"/>
    <mergeCell ref="G14:G17"/>
    <mergeCell ref="P13:P14"/>
    <mergeCell ref="Q13:Q14"/>
    <mergeCell ref="R13:R17"/>
    <mergeCell ref="M13:M14"/>
    <mergeCell ref="N13:N14"/>
    <mergeCell ref="R18:R19"/>
    <mergeCell ref="B18:B19"/>
    <mergeCell ref="C18:C19"/>
    <mergeCell ref="D18:E19"/>
    <mergeCell ref="F18:F19"/>
    <mergeCell ref="G18:G19"/>
    <mergeCell ref="A13:G13"/>
    <mergeCell ref="H13:H14"/>
    <mergeCell ref="I13:I14"/>
    <mergeCell ref="J13:J14"/>
    <mergeCell ref="O46:O47"/>
    <mergeCell ref="N9:N10"/>
    <mergeCell ref="A1:D3"/>
    <mergeCell ref="E1:S3"/>
    <mergeCell ref="A4:S4"/>
    <mergeCell ref="A5:S5"/>
    <mergeCell ref="A6:S6"/>
    <mergeCell ref="A7:S7"/>
    <mergeCell ref="A8:N8"/>
    <mergeCell ref="A9:A10"/>
    <mergeCell ref="B9:B10"/>
    <mergeCell ref="C9:C10"/>
    <mergeCell ref="D9:E10"/>
    <mergeCell ref="F9:F10"/>
    <mergeCell ref="G9:G10"/>
    <mergeCell ref="H9:M9"/>
    <mergeCell ref="S9:S10"/>
    <mergeCell ref="R9:R10"/>
    <mergeCell ref="P9:P10"/>
    <mergeCell ref="K13:K14"/>
    <mergeCell ref="L13:L14"/>
    <mergeCell ref="R11:R12"/>
    <mergeCell ref="O13:O14"/>
    <mergeCell ref="S13:S14"/>
    <mergeCell ref="Q9:Q10"/>
    <mergeCell ref="O9:O10"/>
    <mergeCell ref="S11:S12"/>
    <mergeCell ref="D12:E12"/>
    <mergeCell ref="L11:L12"/>
    <mergeCell ref="M11:M12"/>
    <mergeCell ref="N11:N12"/>
    <mergeCell ref="O11:O12"/>
    <mergeCell ref="O44:O45"/>
    <mergeCell ref="P11:P12"/>
    <mergeCell ref="Q11:Q12"/>
    <mergeCell ref="A11:G11"/>
    <mergeCell ref="H11:H12"/>
    <mergeCell ref="I11:I12"/>
    <mergeCell ref="J11:J12"/>
    <mergeCell ref="K11:K12"/>
    <mergeCell ref="S20:S21"/>
    <mergeCell ref="A21:A31"/>
    <mergeCell ref="B21:B31"/>
    <mergeCell ref="C21:C24"/>
    <mergeCell ref="D21:E24"/>
    <mergeCell ref="F21:F24"/>
    <mergeCell ref="G21:G24"/>
    <mergeCell ref="P20:P21"/>
  </mergeCells>
  <pageMargins left="0.7" right="0.7" top="0.75" bottom="0.75" header="0.3" footer="0.3"/>
  <pageSetup orientation="portrait" r:id="rId1"/>
  <ignoredErrors>
    <ignoredError sqref="F14 F25 F37 F33 F2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
  <sheetViews>
    <sheetView showGridLines="0" zoomScale="60" zoomScaleNormal="60" zoomScalePageLayoutView="86" workbookViewId="0">
      <selection activeCell="S11" sqref="S11:S12"/>
    </sheetView>
  </sheetViews>
  <sheetFormatPr baseColWidth="10" defaultColWidth="10.85546875" defaultRowHeight="12.75" x14ac:dyDescent="0.2"/>
  <cols>
    <col min="1" max="1" width="19.7109375" style="12" customWidth="1"/>
    <col min="2" max="2" width="19.42578125" style="12" customWidth="1"/>
    <col min="3" max="3" width="10.85546875" style="12" customWidth="1"/>
    <col min="4" max="4" width="10.85546875" style="12"/>
    <col min="5" max="5" width="14.42578125" style="12" customWidth="1"/>
    <col min="6" max="6" width="12.5703125" style="12" customWidth="1"/>
    <col min="7" max="7" width="14.7109375" style="12" customWidth="1"/>
    <col min="8" max="8" width="15.42578125" style="12" customWidth="1"/>
    <col min="9" max="9" width="25" style="12" customWidth="1"/>
    <col min="10" max="10" width="9.42578125" style="12" customWidth="1"/>
    <col min="11" max="11" width="25.42578125" style="12" customWidth="1"/>
    <col min="12" max="12" width="12.42578125" style="12" customWidth="1"/>
    <col min="13" max="13" width="14.85546875" style="12" customWidth="1"/>
    <col min="14" max="14" width="10.28515625" style="12" customWidth="1"/>
    <col min="15" max="15" width="19.5703125" style="12" customWidth="1"/>
    <col min="16" max="16" width="13.5703125" style="12" customWidth="1"/>
    <col min="17" max="17" width="15.28515625" style="12" customWidth="1"/>
    <col min="18" max="18" width="13.85546875" style="12" customWidth="1"/>
    <col min="19" max="19" width="114.28515625" style="12" customWidth="1"/>
    <col min="20" max="16384" width="10.85546875" style="12"/>
  </cols>
  <sheetData>
    <row r="1" spans="1:19" ht="13.5" customHeight="1" x14ac:dyDescent="0.2">
      <c r="A1" s="268"/>
      <c r="B1" s="268"/>
      <c r="C1" s="268"/>
      <c r="D1" s="268"/>
      <c r="E1" s="269" t="s">
        <v>0</v>
      </c>
      <c r="F1" s="270"/>
      <c r="G1" s="270"/>
      <c r="H1" s="270"/>
      <c r="I1" s="270"/>
      <c r="J1" s="270"/>
      <c r="K1" s="270"/>
      <c r="L1" s="270"/>
      <c r="M1" s="270"/>
      <c r="N1" s="270"/>
      <c r="O1" s="270"/>
      <c r="P1" s="270"/>
      <c r="Q1" s="270"/>
      <c r="R1" s="270"/>
      <c r="S1" s="271"/>
    </row>
    <row r="2" spans="1:19" ht="13.5" customHeight="1" x14ac:dyDescent="0.2">
      <c r="A2" s="268"/>
      <c r="B2" s="268"/>
      <c r="C2" s="268"/>
      <c r="D2" s="268"/>
      <c r="E2" s="272"/>
      <c r="F2" s="273"/>
      <c r="G2" s="273"/>
      <c r="H2" s="273"/>
      <c r="I2" s="273"/>
      <c r="J2" s="273"/>
      <c r="K2" s="273"/>
      <c r="L2" s="273"/>
      <c r="M2" s="273"/>
      <c r="N2" s="273"/>
      <c r="O2" s="273"/>
      <c r="P2" s="273"/>
      <c r="Q2" s="273"/>
      <c r="R2" s="273"/>
      <c r="S2" s="274"/>
    </row>
    <row r="3" spans="1:19" ht="13.5" customHeight="1" x14ac:dyDescent="0.2">
      <c r="A3" s="268"/>
      <c r="B3" s="268"/>
      <c r="C3" s="268"/>
      <c r="D3" s="268"/>
      <c r="E3" s="275"/>
      <c r="F3" s="276"/>
      <c r="G3" s="276"/>
      <c r="H3" s="276"/>
      <c r="I3" s="276"/>
      <c r="J3" s="276"/>
      <c r="K3" s="276"/>
      <c r="L3" s="276"/>
      <c r="M3" s="276"/>
      <c r="N3" s="276"/>
      <c r="O3" s="276"/>
      <c r="P3" s="276"/>
      <c r="Q3" s="276"/>
      <c r="R3" s="276"/>
      <c r="S3" s="277"/>
    </row>
    <row r="4" spans="1:19" ht="15.75" customHeight="1" x14ac:dyDescent="0.2">
      <c r="A4" s="279" t="s">
        <v>59</v>
      </c>
      <c r="B4" s="279"/>
      <c r="C4" s="279"/>
      <c r="D4" s="279"/>
      <c r="E4" s="279"/>
      <c r="F4" s="279"/>
      <c r="G4" s="279"/>
      <c r="H4" s="279"/>
      <c r="I4" s="279"/>
      <c r="J4" s="279"/>
      <c r="K4" s="279"/>
      <c r="L4" s="279"/>
      <c r="M4" s="279"/>
      <c r="N4" s="279"/>
      <c r="O4" s="279"/>
      <c r="P4" s="279"/>
      <c r="Q4" s="279"/>
      <c r="R4" s="279"/>
      <c r="S4" s="279"/>
    </row>
    <row r="5" spans="1:19" ht="15" customHeight="1" x14ac:dyDescent="0.2">
      <c r="A5" s="279" t="s">
        <v>103</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ht="15.75" customHeight="1" x14ac:dyDescent="0.2">
      <c r="A7" s="268"/>
      <c r="B7" s="268"/>
      <c r="C7" s="268"/>
      <c r="D7" s="268"/>
      <c r="E7" s="268"/>
      <c r="F7" s="268"/>
      <c r="G7" s="268"/>
      <c r="H7" s="268"/>
      <c r="I7" s="268"/>
      <c r="J7" s="268"/>
      <c r="K7" s="268"/>
      <c r="L7" s="268"/>
      <c r="M7" s="268"/>
      <c r="N7" s="268"/>
      <c r="O7" s="268"/>
      <c r="P7" s="268"/>
      <c r="Q7" s="268"/>
      <c r="R7" s="268"/>
      <c r="S7" s="268"/>
    </row>
    <row r="8" spans="1:19" ht="12.75" customHeight="1" x14ac:dyDescent="0.2">
      <c r="A8" s="278" t="s">
        <v>2</v>
      </c>
      <c r="B8" s="278"/>
      <c r="C8" s="278"/>
      <c r="D8" s="278"/>
      <c r="E8" s="278"/>
      <c r="F8" s="278"/>
      <c r="G8" s="278"/>
      <c r="H8" s="278"/>
      <c r="I8" s="278"/>
      <c r="J8" s="278"/>
      <c r="K8" s="278"/>
      <c r="L8" s="278"/>
      <c r="M8" s="278"/>
      <c r="N8" s="278"/>
      <c r="O8" s="213"/>
      <c r="P8" s="42"/>
      <c r="Q8" s="42"/>
      <c r="R8" s="42"/>
      <c r="S8" s="215"/>
    </row>
    <row r="9" spans="1:19" ht="12.75" customHeight="1" x14ac:dyDescent="0.2">
      <c r="A9" s="288" t="s">
        <v>132</v>
      </c>
      <c r="B9" s="288" t="s">
        <v>430</v>
      </c>
      <c r="C9" s="286" t="s">
        <v>4</v>
      </c>
      <c r="D9" s="288" t="s">
        <v>5</v>
      </c>
      <c r="E9" s="288"/>
      <c r="F9" s="286" t="s">
        <v>4</v>
      </c>
      <c r="G9" s="288" t="s">
        <v>6</v>
      </c>
      <c r="H9" s="314" t="s">
        <v>41</v>
      </c>
      <c r="I9" s="314"/>
      <c r="J9" s="314"/>
      <c r="K9" s="314"/>
      <c r="L9" s="314"/>
      <c r="M9" s="314"/>
      <c r="N9" s="286" t="s">
        <v>4</v>
      </c>
      <c r="O9" s="290" t="s">
        <v>531</v>
      </c>
      <c r="P9" s="286" t="s">
        <v>8</v>
      </c>
      <c r="Q9" s="286" t="s">
        <v>9</v>
      </c>
      <c r="R9" s="286" t="s">
        <v>10</v>
      </c>
      <c r="S9" s="290" t="s">
        <v>535</v>
      </c>
    </row>
    <row r="10" spans="1:19" ht="51" customHeight="1" x14ac:dyDescent="0.2">
      <c r="A10" s="288"/>
      <c r="B10" s="288"/>
      <c r="C10" s="286"/>
      <c r="D10" s="288"/>
      <c r="E10" s="288"/>
      <c r="F10" s="286"/>
      <c r="G10" s="288"/>
      <c r="H10" s="40" t="s">
        <v>43</v>
      </c>
      <c r="I10" s="41" t="s">
        <v>42</v>
      </c>
      <c r="J10" s="41" t="s">
        <v>47</v>
      </c>
      <c r="K10" s="40" t="s">
        <v>31</v>
      </c>
      <c r="L10" s="41" t="s">
        <v>48</v>
      </c>
      <c r="M10" s="40" t="s">
        <v>100</v>
      </c>
      <c r="N10" s="286"/>
      <c r="O10" s="291"/>
      <c r="P10" s="286"/>
      <c r="Q10" s="286"/>
      <c r="R10" s="286"/>
      <c r="S10" s="291"/>
    </row>
    <row r="11" spans="1:19" s="1" customFormat="1" ht="12.75" customHeight="1" x14ac:dyDescent="0.2">
      <c r="A11" s="292" t="s">
        <v>284</v>
      </c>
      <c r="B11" s="292"/>
      <c r="C11" s="292"/>
      <c r="D11" s="292"/>
      <c r="E11" s="292"/>
      <c r="F11" s="292"/>
      <c r="G11" s="292"/>
      <c r="H11" s="287" t="s">
        <v>299</v>
      </c>
      <c r="I11" s="287" t="s">
        <v>300</v>
      </c>
      <c r="J11" s="287" t="s">
        <v>35</v>
      </c>
      <c r="K11" s="287" t="s">
        <v>301</v>
      </c>
      <c r="L11" s="287" t="s">
        <v>30</v>
      </c>
      <c r="M11" s="326">
        <v>1</v>
      </c>
      <c r="N11" s="294">
        <v>5.0000000000000001E-3</v>
      </c>
      <c r="O11" s="343">
        <v>1</v>
      </c>
      <c r="P11" s="338">
        <f>O11/M11</f>
        <v>1</v>
      </c>
      <c r="Q11" s="345">
        <f>IF(P11&lt;=100%,P11*N11,N11)</f>
        <v>5.0000000000000001E-3</v>
      </c>
      <c r="R11" s="347">
        <f>+(Q11/2)*100</f>
        <v>0.25</v>
      </c>
      <c r="S11" s="337" t="s">
        <v>514</v>
      </c>
    </row>
    <row r="12" spans="1:19" s="1" customFormat="1" ht="333" customHeight="1" x14ac:dyDescent="0.2">
      <c r="A12" s="324" t="str">
        <f>+'Plan de desarrollo'!B4</f>
        <v>DIMENSIÓN 1: Creemos en la cultura ciudadana</v>
      </c>
      <c r="B12" s="324" t="str">
        <f>+'Objetivos Estratégicos'!B4</f>
        <v xml:space="preserve">Elevar la capacidad de innovación, calidad técnica y audiovisual en la producción, programación y distribución de los contenidos a través de las distintas plataformas. </v>
      </c>
      <c r="C12" s="104">
        <f>+F12</f>
        <v>5.0000000000000001E-3</v>
      </c>
      <c r="D12" s="305" t="s">
        <v>416</v>
      </c>
      <c r="E12" s="306"/>
      <c r="F12" s="60">
        <f>+N11</f>
        <v>5.0000000000000001E-3</v>
      </c>
      <c r="G12" s="61" t="s">
        <v>64</v>
      </c>
      <c r="H12" s="293"/>
      <c r="I12" s="293"/>
      <c r="J12" s="293"/>
      <c r="K12" s="293"/>
      <c r="L12" s="293"/>
      <c r="M12" s="327"/>
      <c r="N12" s="293"/>
      <c r="O12" s="344"/>
      <c r="P12" s="338" t="e">
        <f>SUM(#REF!)/M12</f>
        <v>#REF!</v>
      </c>
      <c r="Q12" s="346"/>
      <c r="R12" s="348"/>
      <c r="S12" s="337"/>
    </row>
    <row r="13" spans="1:19" ht="83.25" customHeight="1" x14ac:dyDescent="0.2">
      <c r="A13" s="341"/>
      <c r="B13" s="341"/>
      <c r="C13" s="315">
        <f>+SUM(F13:F16)</f>
        <v>0.01</v>
      </c>
      <c r="D13" s="287" t="s">
        <v>69</v>
      </c>
      <c r="E13" s="287"/>
      <c r="F13" s="315">
        <f>+N13</f>
        <v>5.0000000000000001E-3</v>
      </c>
      <c r="G13" s="287" t="s">
        <v>64</v>
      </c>
      <c r="H13" s="287" t="s">
        <v>98</v>
      </c>
      <c r="I13" s="287" t="s">
        <v>65</v>
      </c>
      <c r="J13" s="287" t="s">
        <v>35</v>
      </c>
      <c r="K13" s="287" t="s">
        <v>67</v>
      </c>
      <c r="L13" s="287" t="s">
        <v>50</v>
      </c>
      <c r="M13" s="336">
        <v>0.9</v>
      </c>
      <c r="N13" s="294">
        <v>5.0000000000000001E-3</v>
      </c>
      <c r="O13" s="339">
        <v>0.81679999999999997</v>
      </c>
      <c r="P13" s="338">
        <f>O13/M13</f>
        <v>0.90755555555555545</v>
      </c>
      <c r="Q13" s="294">
        <f>IF(P13&lt;=100%,P13*N13,N13)</f>
        <v>4.5377777777777777E-3</v>
      </c>
      <c r="R13" s="299">
        <f>(SUM(Q13:Q16)/2)*100</f>
        <v>0.4074444444444445</v>
      </c>
      <c r="S13" s="334" t="s">
        <v>448</v>
      </c>
    </row>
    <row r="14" spans="1:19" ht="169.5" customHeight="1" x14ac:dyDescent="0.2">
      <c r="A14" s="341"/>
      <c r="B14" s="341"/>
      <c r="C14" s="315"/>
      <c r="D14" s="287"/>
      <c r="E14" s="287"/>
      <c r="F14" s="315"/>
      <c r="G14" s="287"/>
      <c r="H14" s="287"/>
      <c r="I14" s="287"/>
      <c r="J14" s="287"/>
      <c r="K14" s="287"/>
      <c r="L14" s="287"/>
      <c r="M14" s="336"/>
      <c r="N14" s="294"/>
      <c r="O14" s="340"/>
      <c r="P14" s="338"/>
      <c r="Q14" s="294"/>
      <c r="R14" s="300"/>
      <c r="S14" s="335"/>
    </row>
    <row r="15" spans="1:19" ht="76.5" customHeight="1" x14ac:dyDescent="0.2">
      <c r="A15" s="341"/>
      <c r="B15" s="341"/>
      <c r="C15" s="315"/>
      <c r="D15" s="287" t="s">
        <v>70</v>
      </c>
      <c r="E15" s="287"/>
      <c r="F15" s="315">
        <f>+N13</f>
        <v>5.0000000000000001E-3</v>
      </c>
      <c r="G15" s="287" t="s">
        <v>64</v>
      </c>
      <c r="H15" s="287" t="s">
        <v>99</v>
      </c>
      <c r="I15" s="287" t="s">
        <v>66</v>
      </c>
      <c r="J15" s="287"/>
      <c r="K15" s="287" t="s">
        <v>68</v>
      </c>
      <c r="L15" s="287"/>
      <c r="M15" s="336">
        <v>0.9</v>
      </c>
      <c r="N15" s="294">
        <v>5.0000000000000001E-3</v>
      </c>
      <c r="O15" s="336">
        <v>0.65</v>
      </c>
      <c r="P15" s="316">
        <f>O15/M15</f>
        <v>0.72222222222222221</v>
      </c>
      <c r="Q15" s="294">
        <f>IF(P15&lt;=100%,P15*N15,N15)</f>
        <v>3.6111111111111109E-3</v>
      </c>
      <c r="R15" s="300"/>
      <c r="S15" s="337" t="s">
        <v>447</v>
      </c>
    </row>
    <row r="16" spans="1:19" ht="93" customHeight="1" x14ac:dyDescent="0.2">
      <c r="A16" s="325"/>
      <c r="B16" s="325"/>
      <c r="C16" s="315"/>
      <c r="D16" s="287"/>
      <c r="E16" s="287"/>
      <c r="F16" s="315"/>
      <c r="G16" s="287"/>
      <c r="H16" s="287"/>
      <c r="I16" s="287"/>
      <c r="J16" s="287"/>
      <c r="K16" s="287"/>
      <c r="L16" s="287"/>
      <c r="M16" s="336"/>
      <c r="N16" s="294"/>
      <c r="O16" s="336"/>
      <c r="P16" s="316"/>
      <c r="Q16" s="294"/>
      <c r="R16" s="301"/>
      <c r="S16" s="337"/>
    </row>
    <row r="17" spans="1:19" ht="237" customHeight="1" x14ac:dyDescent="0.2">
      <c r="A17" s="36" t="s">
        <v>122</v>
      </c>
      <c r="B17" s="34" t="s">
        <v>405</v>
      </c>
      <c r="C17" s="35">
        <f>+F17</f>
        <v>5.0000000000000001E-3</v>
      </c>
      <c r="D17" s="342" t="s">
        <v>71</v>
      </c>
      <c r="E17" s="342"/>
      <c r="F17" s="35">
        <f>+N17</f>
        <v>5.0000000000000001E-3</v>
      </c>
      <c r="G17" s="33" t="s">
        <v>64</v>
      </c>
      <c r="H17" s="33" t="s">
        <v>73</v>
      </c>
      <c r="I17" s="33" t="s">
        <v>72</v>
      </c>
      <c r="J17" s="33" t="s">
        <v>49</v>
      </c>
      <c r="K17" s="33" t="s">
        <v>74</v>
      </c>
      <c r="L17" s="33" t="s">
        <v>30</v>
      </c>
      <c r="M17" s="26">
        <v>575000000</v>
      </c>
      <c r="N17" s="37">
        <v>5.0000000000000001E-3</v>
      </c>
      <c r="O17" s="225">
        <v>1135042340.8</v>
      </c>
      <c r="P17" s="37">
        <f>O17/M17</f>
        <v>1.9739866796521739</v>
      </c>
      <c r="Q17" s="37">
        <f>IF(P17&lt;=100%,P17*N17,N17)</f>
        <v>5.0000000000000001E-3</v>
      </c>
      <c r="R17" s="37">
        <f>(Q17/2)*100</f>
        <v>0.25</v>
      </c>
      <c r="S17" s="179" t="s">
        <v>538</v>
      </c>
    </row>
    <row r="18" spans="1:19" ht="13.5" customHeight="1" x14ac:dyDescent="0.2">
      <c r="A18" s="304" t="s">
        <v>12</v>
      </c>
      <c r="B18" s="304"/>
      <c r="C18" s="304"/>
      <c r="D18" s="304"/>
      <c r="E18" s="304"/>
      <c r="F18" s="304"/>
      <c r="G18" s="304"/>
      <c r="H18" s="304"/>
      <c r="I18" s="304"/>
      <c r="J18" s="304"/>
      <c r="K18" s="304"/>
      <c r="L18" s="304"/>
      <c r="M18" s="304"/>
      <c r="N18" s="304"/>
      <c r="O18" s="304"/>
      <c r="P18" s="304"/>
      <c r="Q18" s="304"/>
      <c r="R18" s="44">
        <f>SUM(R11:R17)</f>
        <v>0.9074444444444445</v>
      </c>
      <c r="S18" s="216"/>
    </row>
    <row r="20" spans="1:19" ht="36" x14ac:dyDescent="0.2">
      <c r="C20" s="18">
        <f>+C17+C13+C12</f>
        <v>0.02</v>
      </c>
      <c r="S20" s="129" t="s">
        <v>366</v>
      </c>
    </row>
  </sheetData>
  <mergeCells count="66">
    <mergeCell ref="A8:N8"/>
    <mergeCell ref="A1:D3"/>
    <mergeCell ref="A4:S4"/>
    <mergeCell ref="R13:R16"/>
    <mergeCell ref="S11:S12"/>
    <mergeCell ref="D12:E12"/>
    <mergeCell ref="P11:P12"/>
    <mergeCell ref="Q11:Q12"/>
    <mergeCell ref="R11:R12"/>
    <mergeCell ref="A11:G11"/>
    <mergeCell ref="H11:H12"/>
    <mergeCell ref="I11:I12"/>
    <mergeCell ref="J11:J12"/>
    <mergeCell ref="K11:K12"/>
    <mergeCell ref="A5:S5"/>
    <mergeCell ref="A6:S6"/>
    <mergeCell ref="A7:S7"/>
    <mergeCell ref="M11:M12"/>
    <mergeCell ref="A12:A16"/>
    <mergeCell ref="H9:M9"/>
    <mergeCell ref="N9:N10"/>
    <mergeCell ref="S9:S10"/>
    <mergeCell ref="P9:P10"/>
    <mergeCell ref="Q9:Q10"/>
    <mergeCell ref="R9:R10"/>
    <mergeCell ref="O9:O10"/>
    <mergeCell ref="L11:L12"/>
    <mergeCell ref="A9:A10"/>
    <mergeCell ref="B9:B10"/>
    <mergeCell ref="C9:C10"/>
    <mergeCell ref="D9:E10"/>
    <mergeCell ref="F9:F10"/>
    <mergeCell ref="G9:G10"/>
    <mergeCell ref="B12:B16"/>
    <mergeCell ref="D17:E17"/>
    <mergeCell ref="A18:Q18"/>
    <mergeCell ref="Q15:Q16"/>
    <mergeCell ref="O11:O12"/>
    <mergeCell ref="Q13:Q14"/>
    <mergeCell ref="I13:I14"/>
    <mergeCell ref="J13:J16"/>
    <mergeCell ref="K13:K14"/>
    <mergeCell ref="L13:L16"/>
    <mergeCell ref="O13:O14"/>
    <mergeCell ref="O15:O16"/>
    <mergeCell ref="C13:C16"/>
    <mergeCell ref="D13:E14"/>
    <mergeCell ref="F13:F14"/>
    <mergeCell ref="G13:G14"/>
    <mergeCell ref="H13:H14"/>
    <mergeCell ref="E1:S3"/>
    <mergeCell ref="N11:N12"/>
    <mergeCell ref="S13:S14"/>
    <mergeCell ref="D15:E16"/>
    <mergeCell ref="F15:F16"/>
    <mergeCell ref="G15:G16"/>
    <mergeCell ref="H15:H16"/>
    <mergeCell ref="I15:I16"/>
    <mergeCell ref="K15:K16"/>
    <mergeCell ref="M15:M16"/>
    <mergeCell ref="N15:N16"/>
    <mergeCell ref="M13:M14"/>
    <mergeCell ref="N13:N14"/>
    <mergeCell ref="S15:S16"/>
    <mergeCell ref="P15:P16"/>
    <mergeCell ref="P13:P14"/>
  </mergeCells>
  <pageMargins left="0.7" right="0.7" top="0.75" bottom="0.75" header="0.3" footer="0.3"/>
  <pageSetup orientation="portrait" r:id="rId1"/>
  <ignoredErrors>
    <ignoredError sqref="R11 Q13:R13 Q15"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69"/>
  <sheetViews>
    <sheetView showGridLines="0" zoomScale="60" zoomScaleNormal="60" zoomScalePageLayoutView="85" workbookViewId="0">
      <selection activeCell="S20" sqref="S20:S21"/>
    </sheetView>
  </sheetViews>
  <sheetFormatPr baseColWidth="10" defaultColWidth="0" defaultRowHeight="0" customHeight="1" zeroHeight="1" x14ac:dyDescent="0.2"/>
  <cols>
    <col min="1" max="1" width="19.28515625" style="1" customWidth="1"/>
    <col min="2" max="2" width="26.28515625" style="1" customWidth="1"/>
    <col min="3" max="3" width="11" style="1" customWidth="1"/>
    <col min="4" max="4" width="19.5703125" style="1" customWidth="1"/>
    <col min="5" max="5" width="5.7109375" style="1" customWidth="1"/>
    <col min="6" max="6" width="12.140625" style="1" customWidth="1"/>
    <col min="7" max="7" width="19.140625" style="1" bestFit="1" customWidth="1"/>
    <col min="8" max="8" width="22.42578125" style="1" customWidth="1"/>
    <col min="9" max="9" width="45.28515625" style="1" customWidth="1"/>
    <col min="10" max="10" width="13.7109375" style="1" customWidth="1"/>
    <col min="11" max="12" width="16.42578125" style="1" customWidth="1"/>
    <col min="13" max="13" width="19" style="1" customWidth="1"/>
    <col min="14" max="14" width="11.7109375" style="1" customWidth="1"/>
    <col min="15" max="15" width="17.42578125" style="1" customWidth="1"/>
    <col min="16" max="17" width="15.7109375" style="1" customWidth="1"/>
    <col min="18" max="18" width="14.85546875" style="1" customWidth="1"/>
    <col min="19" max="19" width="69.5703125" style="1" customWidth="1"/>
    <col min="20" max="20" width="9.7109375" style="1" customWidth="1"/>
    <col min="21" max="32" width="0" style="1" hidden="1" customWidth="1"/>
    <col min="33" max="16384" width="15" style="1" hidden="1"/>
  </cols>
  <sheetData>
    <row r="1" spans="1:19" ht="18.75" customHeight="1" x14ac:dyDescent="0.2">
      <c r="A1" s="268"/>
      <c r="B1" s="268"/>
      <c r="C1" s="268"/>
      <c r="D1" s="268"/>
      <c r="E1" s="269" t="s">
        <v>0</v>
      </c>
      <c r="F1" s="270"/>
      <c r="G1" s="270"/>
      <c r="H1" s="270"/>
      <c r="I1" s="270"/>
      <c r="J1" s="270"/>
      <c r="K1" s="270"/>
      <c r="L1" s="270"/>
      <c r="M1" s="270"/>
      <c r="N1" s="270"/>
      <c r="O1" s="270"/>
      <c r="P1" s="270"/>
      <c r="Q1" s="270"/>
      <c r="R1" s="270"/>
      <c r="S1" s="271"/>
    </row>
    <row r="2" spans="1:19" ht="13.5" customHeight="1" x14ac:dyDescent="0.2">
      <c r="A2" s="268"/>
      <c r="B2" s="268"/>
      <c r="C2" s="268"/>
      <c r="D2" s="268"/>
      <c r="E2" s="272"/>
      <c r="F2" s="273"/>
      <c r="G2" s="273"/>
      <c r="H2" s="273"/>
      <c r="I2" s="273"/>
      <c r="J2" s="273"/>
      <c r="K2" s="273"/>
      <c r="L2" s="273"/>
      <c r="M2" s="273"/>
      <c r="N2" s="273"/>
      <c r="O2" s="273"/>
      <c r="P2" s="273"/>
      <c r="Q2" s="273"/>
      <c r="R2" s="273"/>
      <c r="S2" s="274"/>
    </row>
    <row r="3" spans="1:19" ht="13.5" customHeight="1" x14ac:dyDescent="0.2">
      <c r="A3" s="268"/>
      <c r="B3" s="268"/>
      <c r="C3" s="268"/>
      <c r="D3" s="268"/>
      <c r="E3" s="275"/>
      <c r="F3" s="276"/>
      <c r="G3" s="276"/>
      <c r="H3" s="276"/>
      <c r="I3" s="276"/>
      <c r="J3" s="276"/>
      <c r="K3" s="276"/>
      <c r="L3" s="276"/>
      <c r="M3" s="276"/>
      <c r="N3" s="276"/>
      <c r="O3" s="276"/>
      <c r="P3" s="276"/>
      <c r="Q3" s="276"/>
      <c r="R3" s="276"/>
      <c r="S3" s="277"/>
    </row>
    <row r="4" spans="1:19" ht="12.75" x14ac:dyDescent="0.2">
      <c r="A4" s="279" t="s">
        <v>125</v>
      </c>
      <c r="B4" s="279"/>
      <c r="C4" s="279"/>
      <c r="D4" s="279"/>
      <c r="E4" s="279"/>
      <c r="F4" s="279"/>
      <c r="G4" s="279"/>
      <c r="H4" s="279"/>
      <c r="I4" s="279"/>
      <c r="J4" s="279"/>
      <c r="K4" s="279"/>
      <c r="L4" s="279"/>
      <c r="M4" s="279"/>
      <c r="N4" s="279"/>
      <c r="O4" s="279"/>
      <c r="P4" s="279"/>
      <c r="Q4" s="279"/>
      <c r="R4" s="279"/>
      <c r="S4" s="279"/>
    </row>
    <row r="5" spans="1:19" ht="12.75" x14ac:dyDescent="0.2">
      <c r="A5" s="279" t="s">
        <v>127</v>
      </c>
      <c r="B5" s="279"/>
      <c r="C5" s="279"/>
      <c r="D5" s="279"/>
      <c r="E5" s="279"/>
      <c r="F5" s="279"/>
      <c r="G5" s="279"/>
      <c r="H5" s="279"/>
      <c r="I5" s="279"/>
      <c r="J5" s="279"/>
      <c r="K5" s="279"/>
      <c r="L5" s="279"/>
      <c r="M5" s="279"/>
      <c r="N5" s="279"/>
      <c r="O5" s="279"/>
      <c r="P5" s="279"/>
      <c r="Q5" s="279"/>
      <c r="R5" s="279"/>
      <c r="S5" s="279"/>
    </row>
    <row r="6" spans="1:19" ht="12.75" x14ac:dyDescent="0.2">
      <c r="A6" s="279" t="s">
        <v>368</v>
      </c>
      <c r="B6" s="279"/>
      <c r="C6" s="279"/>
      <c r="D6" s="279"/>
      <c r="E6" s="279"/>
      <c r="F6" s="279"/>
      <c r="G6" s="279"/>
      <c r="H6" s="279"/>
      <c r="I6" s="279"/>
      <c r="J6" s="279"/>
      <c r="K6" s="279"/>
      <c r="L6" s="279"/>
      <c r="M6" s="279"/>
      <c r="N6" s="279"/>
      <c r="O6" s="279"/>
      <c r="P6" s="279"/>
      <c r="Q6" s="279"/>
      <c r="R6" s="279"/>
      <c r="S6" s="279"/>
    </row>
    <row r="7" spans="1:19" ht="12.75" x14ac:dyDescent="0.2">
      <c r="A7" s="352"/>
      <c r="B7" s="353"/>
      <c r="C7" s="353"/>
      <c r="D7" s="353"/>
      <c r="E7" s="353"/>
      <c r="F7" s="353"/>
      <c r="G7" s="353"/>
      <c r="H7" s="353"/>
      <c r="I7" s="353"/>
      <c r="J7" s="353"/>
      <c r="K7" s="353"/>
      <c r="L7" s="353"/>
      <c r="M7" s="353"/>
      <c r="N7" s="353"/>
      <c r="O7" s="353"/>
      <c r="P7" s="353"/>
      <c r="Q7" s="353"/>
      <c r="R7" s="353"/>
      <c r="S7" s="354"/>
    </row>
    <row r="8" spans="1:19" ht="15.75" customHeight="1" x14ac:dyDescent="0.2">
      <c r="A8" s="278" t="s">
        <v>2</v>
      </c>
      <c r="B8" s="278"/>
      <c r="C8" s="278"/>
      <c r="D8" s="278"/>
      <c r="E8" s="278"/>
      <c r="F8" s="278"/>
      <c r="G8" s="278"/>
      <c r="H8" s="278"/>
      <c r="I8" s="278"/>
      <c r="J8" s="278"/>
      <c r="K8" s="278"/>
      <c r="L8" s="278"/>
      <c r="M8" s="278"/>
      <c r="N8" s="278"/>
      <c r="O8" s="213"/>
      <c r="P8" s="117"/>
      <c r="Q8" s="117"/>
      <c r="R8" s="117"/>
      <c r="S8" s="215"/>
    </row>
    <row r="9" spans="1:19" ht="11.25" customHeight="1" x14ac:dyDescent="0.2">
      <c r="A9" s="288" t="s">
        <v>132</v>
      </c>
      <c r="B9" s="288" t="s">
        <v>430</v>
      </c>
      <c r="C9" s="286" t="s">
        <v>4</v>
      </c>
      <c r="D9" s="288" t="s">
        <v>5</v>
      </c>
      <c r="E9" s="288"/>
      <c r="F9" s="286" t="s">
        <v>4</v>
      </c>
      <c r="G9" s="288" t="s">
        <v>6</v>
      </c>
      <c r="H9" s="288" t="s">
        <v>7</v>
      </c>
      <c r="I9" s="288"/>
      <c r="J9" s="288"/>
      <c r="K9" s="288"/>
      <c r="L9" s="288"/>
      <c r="M9" s="288"/>
      <c r="N9" s="286" t="s">
        <v>4</v>
      </c>
      <c r="O9" s="290" t="s">
        <v>531</v>
      </c>
      <c r="P9" s="286" t="s">
        <v>8</v>
      </c>
      <c r="Q9" s="286" t="s">
        <v>9</v>
      </c>
      <c r="R9" s="286" t="s">
        <v>10</v>
      </c>
      <c r="S9" s="290" t="s">
        <v>535</v>
      </c>
    </row>
    <row r="10" spans="1:19" ht="77.25" customHeight="1" x14ac:dyDescent="0.2">
      <c r="A10" s="288"/>
      <c r="B10" s="288"/>
      <c r="C10" s="286"/>
      <c r="D10" s="288"/>
      <c r="E10" s="288"/>
      <c r="F10" s="286"/>
      <c r="G10" s="288"/>
      <c r="H10" s="117" t="s">
        <v>43</v>
      </c>
      <c r="I10" s="128" t="s">
        <v>42</v>
      </c>
      <c r="J10" s="128" t="s">
        <v>47</v>
      </c>
      <c r="K10" s="117" t="s">
        <v>31</v>
      </c>
      <c r="L10" s="128" t="s">
        <v>48</v>
      </c>
      <c r="M10" s="128" t="s">
        <v>52</v>
      </c>
      <c r="N10" s="286"/>
      <c r="O10" s="290"/>
      <c r="P10" s="286"/>
      <c r="Q10" s="286"/>
      <c r="R10" s="286"/>
      <c r="S10" s="291"/>
    </row>
    <row r="11" spans="1:19" ht="12.75" customHeight="1" x14ac:dyDescent="0.2">
      <c r="A11" s="292" t="s">
        <v>255</v>
      </c>
      <c r="B11" s="292"/>
      <c r="C11" s="292"/>
      <c r="D11" s="292"/>
      <c r="E11" s="292"/>
      <c r="F11" s="292"/>
      <c r="G11" s="292"/>
      <c r="H11" s="287" t="s">
        <v>257</v>
      </c>
      <c r="I11" s="349" t="s">
        <v>258</v>
      </c>
      <c r="J11" s="287" t="s">
        <v>49</v>
      </c>
      <c r="K11" s="287" t="s">
        <v>257</v>
      </c>
      <c r="L11" s="287" t="s">
        <v>30</v>
      </c>
      <c r="M11" s="289">
        <v>55000000</v>
      </c>
      <c r="N11" s="299">
        <v>5.0000000000000001E-3</v>
      </c>
      <c r="O11" s="355">
        <v>3600870258</v>
      </c>
      <c r="P11" s="338">
        <f>+SUM(O11)/M11</f>
        <v>65.470368327272723</v>
      </c>
      <c r="Q11" s="345">
        <f>IF(P11&lt;=100%,P11*N11,N11)</f>
        <v>5.0000000000000001E-3</v>
      </c>
      <c r="R11" s="285">
        <f>(Q11/8.17)*100</f>
        <v>6.1199510403916774E-2</v>
      </c>
      <c r="S11" s="310" t="s">
        <v>489</v>
      </c>
    </row>
    <row r="12" spans="1:19" ht="225" customHeight="1" x14ac:dyDescent="0.2">
      <c r="A12" s="312" t="str">
        <f>+'Plan de desarrollo'!B4</f>
        <v>DIMENSIÓN 1: Creemos en la cultura ciudadana</v>
      </c>
      <c r="B12" s="320" t="str">
        <f>'Objetivos Estratégicos'!B5</f>
        <v xml:space="preserve">Realizar alianzas estratégicas con la Alcaldía y sus entes descentralizados para temas de comunicación a través de la Agencia y Central de Medios de Telemedellín. </v>
      </c>
      <c r="C12" s="299">
        <v>7.6700000000000004E-2</v>
      </c>
      <c r="D12" s="287" t="s">
        <v>256</v>
      </c>
      <c r="E12" s="287"/>
      <c r="F12" s="299">
        <f>+SUM(N11:N18)</f>
        <v>5.67E-2</v>
      </c>
      <c r="G12" s="113" t="s">
        <v>126</v>
      </c>
      <c r="H12" s="293"/>
      <c r="I12" s="350"/>
      <c r="J12" s="293"/>
      <c r="K12" s="293"/>
      <c r="L12" s="293"/>
      <c r="M12" s="289"/>
      <c r="N12" s="301"/>
      <c r="O12" s="356"/>
      <c r="P12" s="338"/>
      <c r="Q12" s="346"/>
      <c r="R12" s="285"/>
      <c r="S12" s="310"/>
    </row>
    <row r="13" spans="1:19" ht="119.25" customHeight="1" x14ac:dyDescent="0.2">
      <c r="A13" s="351"/>
      <c r="B13" s="321"/>
      <c r="C13" s="300"/>
      <c r="D13" s="287" t="s">
        <v>259</v>
      </c>
      <c r="E13" s="287"/>
      <c r="F13" s="300"/>
      <c r="G13" s="113" t="s">
        <v>126</v>
      </c>
      <c r="H13" s="113" t="s">
        <v>260</v>
      </c>
      <c r="I13" s="2" t="s">
        <v>261</v>
      </c>
      <c r="J13" s="113" t="s">
        <v>49</v>
      </c>
      <c r="K13" s="113" t="s">
        <v>260</v>
      </c>
      <c r="L13" s="113" t="s">
        <v>30</v>
      </c>
      <c r="M13" s="114">
        <v>100000000</v>
      </c>
      <c r="N13" s="152">
        <v>5.0000000000000001E-3</v>
      </c>
      <c r="O13" s="214">
        <v>16109332901</v>
      </c>
      <c r="P13" s="171">
        <f t="shared" ref="P13:P18" si="0">O13/M13</f>
        <v>161.09332900999999</v>
      </c>
      <c r="Q13" s="115">
        <f t="shared" ref="Q13:Q20" si="1">IF(P13&lt;=100%,P13*N13,N13)</f>
        <v>5.0000000000000001E-3</v>
      </c>
      <c r="R13" s="116">
        <f t="shared" ref="R13:R20" si="2">(Q13/8.17)*100</f>
        <v>6.1199510403916774E-2</v>
      </c>
      <c r="S13" s="179" t="s">
        <v>539</v>
      </c>
    </row>
    <row r="14" spans="1:19" ht="138.75" customHeight="1" x14ac:dyDescent="0.2">
      <c r="A14" s="351"/>
      <c r="B14" s="321"/>
      <c r="C14" s="300"/>
      <c r="D14" s="287" t="s">
        <v>490</v>
      </c>
      <c r="E14" s="287"/>
      <c r="F14" s="300"/>
      <c r="G14" s="113" t="s">
        <v>126</v>
      </c>
      <c r="H14" s="113" t="s">
        <v>491</v>
      </c>
      <c r="I14" s="2" t="s">
        <v>492</v>
      </c>
      <c r="J14" s="113" t="s">
        <v>49</v>
      </c>
      <c r="K14" s="113" t="s">
        <v>491</v>
      </c>
      <c r="L14" s="113" t="s">
        <v>30</v>
      </c>
      <c r="M14" s="114">
        <v>300000000</v>
      </c>
      <c r="N14" s="152">
        <v>0.02</v>
      </c>
      <c r="O14" s="214">
        <v>21622259154</v>
      </c>
      <c r="P14" s="218">
        <f t="shared" si="0"/>
        <v>72.074197179999999</v>
      </c>
      <c r="Q14" s="115">
        <f t="shared" si="1"/>
        <v>0.02</v>
      </c>
      <c r="R14" s="116">
        <f t="shared" si="2"/>
        <v>0.24479804161566709</v>
      </c>
      <c r="S14" s="197" t="s">
        <v>541</v>
      </c>
    </row>
    <row r="15" spans="1:19" ht="61.5" customHeight="1" x14ac:dyDescent="0.2">
      <c r="A15" s="351"/>
      <c r="B15" s="321"/>
      <c r="C15" s="300"/>
      <c r="D15" s="287" t="s">
        <v>267</v>
      </c>
      <c r="E15" s="287"/>
      <c r="F15" s="300"/>
      <c r="G15" s="113" t="s">
        <v>126</v>
      </c>
      <c r="H15" s="113" t="s">
        <v>268</v>
      </c>
      <c r="I15" s="2" t="s">
        <v>269</v>
      </c>
      <c r="J15" s="113" t="s">
        <v>49</v>
      </c>
      <c r="K15" s="113" t="s">
        <v>268</v>
      </c>
      <c r="L15" s="113" t="s">
        <v>30</v>
      </c>
      <c r="M15" s="114">
        <v>50000000</v>
      </c>
      <c r="N15" s="152">
        <v>0.02</v>
      </c>
      <c r="O15" s="214">
        <v>425452789</v>
      </c>
      <c r="P15" s="218">
        <f t="shared" si="0"/>
        <v>8.5090557800000006</v>
      </c>
      <c r="Q15" s="115">
        <f t="shared" si="1"/>
        <v>0.02</v>
      </c>
      <c r="R15" s="116">
        <f t="shared" si="2"/>
        <v>0.24479804161566709</v>
      </c>
      <c r="S15" s="197" t="s">
        <v>540</v>
      </c>
    </row>
    <row r="16" spans="1:19" ht="76.5" x14ac:dyDescent="0.2">
      <c r="A16" s="351"/>
      <c r="B16" s="321"/>
      <c r="C16" s="300"/>
      <c r="D16" s="287" t="s">
        <v>270</v>
      </c>
      <c r="E16" s="287"/>
      <c r="F16" s="300"/>
      <c r="G16" s="113" t="s">
        <v>126</v>
      </c>
      <c r="H16" s="113" t="s">
        <v>276</v>
      </c>
      <c r="I16" s="2" t="s">
        <v>389</v>
      </c>
      <c r="J16" s="113" t="s">
        <v>35</v>
      </c>
      <c r="K16" s="123" t="s">
        <v>360</v>
      </c>
      <c r="L16" s="113" t="s">
        <v>30</v>
      </c>
      <c r="M16" s="127">
        <v>0.8</v>
      </c>
      <c r="N16" s="152">
        <v>2.2000000000000001E-3</v>
      </c>
      <c r="O16" s="227">
        <v>0.9</v>
      </c>
      <c r="P16" s="218">
        <f t="shared" si="0"/>
        <v>1.125</v>
      </c>
      <c r="Q16" s="115">
        <f t="shared" si="1"/>
        <v>2.2000000000000001E-3</v>
      </c>
      <c r="R16" s="116">
        <f t="shared" si="2"/>
        <v>2.6927784577723379E-2</v>
      </c>
      <c r="S16" s="193" t="s">
        <v>488</v>
      </c>
    </row>
    <row r="17" spans="1:19" ht="89.25" x14ac:dyDescent="0.2">
      <c r="A17" s="351"/>
      <c r="B17" s="321"/>
      <c r="C17" s="300"/>
      <c r="D17" s="287" t="s">
        <v>271</v>
      </c>
      <c r="E17" s="287"/>
      <c r="F17" s="300"/>
      <c r="G17" s="113" t="s">
        <v>126</v>
      </c>
      <c r="H17" s="113" t="s">
        <v>277</v>
      </c>
      <c r="I17" s="2" t="s">
        <v>390</v>
      </c>
      <c r="J17" s="113" t="s">
        <v>35</v>
      </c>
      <c r="K17" s="123" t="s">
        <v>362</v>
      </c>
      <c r="L17" s="113" t="s">
        <v>30</v>
      </c>
      <c r="M17" s="127">
        <v>0.8</v>
      </c>
      <c r="N17" s="152">
        <v>2.2000000000000001E-3</v>
      </c>
      <c r="O17" s="227">
        <v>0.6</v>
      </c>
      <c r="P17" s="218">
        <f t="shared" si="0"/>
        <v>0.74999999999999989</v>
      </c>
      <c r="Q17" s="115">
        <f t="shared" si="1"/>
        <v>1.6499999999999998E-3</v>
      </c>
      <c r="R17" s="116">
        <f t="shared" si="2"/>
        <v>2.0195838433292531E-2</v>
      </c>
      <c r="S17" s="193" t="s">
        <v>487</v>
      </c>
    </row>
    <row r="18" spans="1:19" ht="107.25" customHeight="1" x14ac:dyDescent="0.2">
      <c r="A18" s="351"/>
      <c r="B18" s="321"/>
      <c r="C18" s="300"/>
      <c r="D18" s="287" t="s">
        <v>282</v>
      </c>
      <c r="E18" s="287"/>
      <c r="F18" s="301"/>
      <c r="G18" s="113" t="s">
        <v>126</v>
      </c>
      <c r="H18" s="113" t="s">
        <v>283</v>
      </c>
      <c r="I18" s="2" t="s">
        <v>391</v>
      </c>
      <c r="J18" s="113" t="s">
        <v>35</v>
      </c>
      <c r="K18" s="123" t="s">
        <v>361</v>
      </c>
      <c r="L18" s="113" t="s">
        <v>30</v>
      </c>
      <c r="M18" s="127">
        <v>0.8</v>
      </c>
      <c r="N18" s="152">
        <v>2.3E-3</v>
      </c>
      <c r="O18" s="227">
        <v>0</v>
      </c>
      <c r="P18" s="218">
        <f t="shared" si="0"/>
        <v>0</v>
      </c>
      <c r="Q18" s="115">
        <f t="shared" si="1"/>
        <v>0</v>
      </c>
      <c r="R18" s="116">
        <f t="shared" si="2"/>
        <v>0</v>
      </c>
      <c r="S18" s="193" t="s">
        <v>441</v>
      </c>
    </row>
    <row r="19" spans="1:19" ht="108" customHeight="1" x14ac:dyDescent="0.2">
      <c r="A19" s="313"/>
      <c r="B19" s="322"/>
      <c r="C19" s="301"/>
      <c r="D19" s="287" t="s">
        <v>371</v>
      </c>
      <c r="E19" s="287"/>
      <c r="F19" s="115">
        <v>0.02</v>
      </c>
      <c r="G19" s="113" t="s">
        <v>126</v>
      </c>
      <c r="H19" s="113" t="s">
        <v>372</v>
      </c>
      <c r="I19" s="2" t="s">
        <v>373</v>
      </c>
      <c r="J19" s="113" t="s">
        <v>49</v>
      </c>
      <c r="K19" s="113" t="s">
        <v>372</v>
      </c>
      <c r="L19" s="113" t="s">
        <v>30</v>
      </c>
      <c r="M19" s="114">
        <v>1587000000</v>
      </c>
      <c r="N19" s="152">
        <v>0.02</v>
      </c>
      <c r="O19" s="214">
        <v>1501276510</v>
      </c>
      <c r="P19" s="171">
        <f>SUM(O19)/M19</f>
        <v>0.94598393824826721</v>
      </c>
      <c r="Q19" s="115">
        <f t="shared" si="1"/>
        <v>1.8919678764965343E-2</v>
      </c>
      <c r="R19" s="116">
        <f t="shared" si="2"/>
        <v>0.23157501548305195</v>
      </c>
      <c r="S19" s="197" t="s">
        <v>485</v>
      </c>
    </row>
    <row r="20" spans="1:19" ht="15" customHeight="1" x14ac:dyDescent="0.2">
      <c r="A20" s="292" t="s">
        <v>284</v>
      </c>
      <c r="B20" s="292"/>
      <c r="C20" s="292"/>
      <c r="D20" s="292"/>
      <c r="E20" s="292"/>
      <c r="F20" s="292"/>
      <c r="G20" s="292"/>
      <c r="H20" s="287" t="s">
        <v>302</v>
      </c>
      <c r="I20" s="287" t="s">
        <v>392</v>
      </c>
      <c r="J20" s="287" t="s">
        <v>34</v>
      </c>
      <c r="K20" s="287" t="s">
        <v>303</v>
      </c>
      <c r="L20" s="287" t="s">
        <v>30</v>
      </c>
      <c r="M20" s="357">
        <v>1</v>
      </c>
      <c r="N20" s="299">
        <v>5.0000000000000001E-3</v>
      </c>
      <c r="O20" s="324">
        <v>1</v>
      </c>
      <c r="P20" s="338">
        <f>+IF(SUM(O20:O21)&gt;=M20,100%,0%)</f>
        <v>1</v>
      </c>
      <c r="Q20" s="345">
        <f t="shared" si="1"/>
        <v>5.0000000000000001E-3</v>
      </c>
      <c r="R20" s="308">
        <f t="shared" si="2"/>
        <v>6.1199510403916774E-2</v>
      </c>
      <c r="S20" s="310" t="s">
        <v>402</v>
      </c>
    </row>
    <row r="21" spans="1:19" ht="173.25" customHeight="1" x14ac:dyDescent="0.2">
      <c r="A21" s="195" t="str">
        <f>+A12</f>
        <v>DIMENSIÓN 1: Creemos en la cultura ciudadana</v>
      </c>
      <c r="B21" s="196" t="str">
        <f>+'Objetivos Estratégicos'!B7</f>
        <v xml:space="preserve">Incrementar el nivel de eficiencia y eficacia operativa y administrativa en la gestión y ejecución de los procesos. </v>
      </c>
      <c r="C21" s="194">
        <f>SUM(F21:F21)</f>
        <v>5.0000000000000001E-3</v>
      </c>
      <c r="D21" s="287" t="s">
        <v>403</v>
      </c>
      <c r="E21" s="287"/>
      <c r="F21" s="115">
        <f>+N20</f>
        <v>5.0000000000000001E-3</v>
      </c>
      <c r="G21" s="113" t="s">
        <v>126</v>
      </c>
      <c r="H21" s="293"/>
      <c r="I21" s="293"/>
      <c r="J21" s="293"/>
      <c r="K21" s="293"/>
      <c r="L21" s="293"/>
      <c r="M21" s="357"/>
      <c r="N21" s="301"/>
      <c r="O21" s="325"/>
      <c r="P21" s="338"/>
      <c r="Q21" s="346"/>
      <c r="R21" s="309"/>
      <c r="S21" s="310"/>
    </row>
    <row r="22" spans="1:19" s="12" customFormat="1" ht="17.25" customHeight="1" x14ac:dyDescent="0.2">
      <c r="A22" s="304" t="s">
        <v>12</v>
      </c>
      <c r="B22" s="304"/>
      <c r="C22" s="304"/>
      <c r="D22" s="304"/>
      <c r="E22" s="304"/>
      <c r="F22" s="304"/>
      <c r="G22" s="304"/>
      <c r="H22" s="304"/>
      <c r="I22" s="304"/>
      <c r="J22" s="304"/>
      <c r="K22" s="304"/>
      <c r="L22" s="304"/>
      <c r="M22" s="304"/>
      <c r="N22" s="304"/>
      <c r="O22" s="304"/>
      <c r="P22" s="304"/>
      <c r="Q22" s="304"/>
      <c r="R22" s="110">
        <f>SUM(R11:R21)</f>
        <v>0.95189325293715243</v>
      </c>
      <c r="S22" s="212"/>
    </row>
    <row r="23" spans="1:19" s="15" customFormat="1" ht="12.75" x14ac:dyDescent="0.2"/>
    <row r="24" spans="1:19" s="15" customFormat="1" ht="36" x14ac:dyDescent="0.2">
      <c r="C24" s="157"/>
      <c r="S24" s="131" t="s">
        <v>366</v>
      </c>
    </row>
    <row r="25" spans="1:19" s="15" customFormat="1" ht="26.25" customHeight="1" x14ac:dyDescent="0.2"/>
    <row r="26" spans="1:19" s="15" customFormat="1" ht="12.75" x14ac:dyDescent="0.2"/>
    <row r="27" spans="1:19" s="15" customFormat="1" ht="26.25" customHeight="1" x14ac:dyDescent="0.2"/>
    <row r="28" spans="1:19" s="15" customFormat="1" ht="12.75" x14ac:dyDescent="0.2"/>
    <row r="29" spans="1:19" s="15" customFormat="1" ht="46.5" customHeight="1" x14ac:dyDescent="0.2">
      <c r="B29" s="16"/>
      <c r="C29" s="16"/>
      <c r="D29" s="16"/>
      <c r="E29" s="16"/>
      <c r="F29" s="16"/>
      <c r="G29" s="16"/>
      <c r="H29" s="16"/>
      <c r="I29" s="16"/>
      <c r="J29" s="16"/>
      <c r="K29" s="16"/>
      <c r="L29" s="16"/>
      <c r="M29" s="16"/>
      <c r="N29" s="16"/>
      <c r="O29" s="16"/>
      <c r="P29" s="16"/>
      <c r="Q29" s="16"/>
      <c r="R29" s="16"/>
    </row>
    <row r="30" spans="1:19" s="15" customFormat="1" ht="16.5" customHeight="1" x14ac:dyDescent="0.2">
      <c r="B30" s="16"/>
      <c r="C30" s="16"/>
      <c r="D30" s="16"/>
      <c r="E30" s="16"/>
      <c r="F30" s="16"/>
      <c r="G30" s="16"/>
      <c r="H30" s="16"/>
      <c r="I30" s="16"/>
      <c r="J30" s="16"/>
      <c r="K30" s="16"/>
      <c r="L30" s="16"/>
      <c r="M30" s="16"/>
      <c r="N30" s="16"/>
      <c r="O30" s="16"/>
      <c r="P30" s="16"/>
      <c r="Q30" s="16"/>
      <c r="R30" s="16"/>
    </row>
    <row r="31" spans="1:19" s="15" customFormat="1" ht="12.75" x14ac:dyDescent="0.2">
      <c r="B31" s="16"/>
      <c r="C31" s="16"/>
      <c r="D31" s="16"/>
      <c r="E31" s="16"/>
      <c r="F31" s="16"/>
      <c r="G31" s="16"/>
      <c r="H31" s="16"/>
      <c r="I31" s="16"/>
      <c r="J31" s="16"/>
      <c r="K31" s="16"/>
      <c r="L31" s="16"/>
      <c r="M31" s="16"/>
      <c r="N31" s="16"/>
      <c r="O31" s="16"/>
      <c r="P31" s="16"/>
      <c r="Q31" s="16"/>
      <c r="R31" s="16"/>
    </row>
    <row r="32" spans="1:19" s="15" customFormat="1" ht="12.75" x14ac:dyDescent="0.2">
      <c r="B32" s="16"/>
      <c r="C32" s="16"/>
      <c r="D32" s="16"/>
      <c r="E32" s="16"/>
      <c r="F32" s="16"/>
      <c r="G32" s="16"/>
      <c r="H32" s="16"/>
      <c r="I32" s="16"/>
      <c r="J32" s="16"/>
      <c r="K32" s="16"/>
      <c r="L32" s="16"/>
      <c r="M32" s="16"/>
      <c r="N32" s="16"/>
      <c r="O32" s="16"/>
      <c r="P32" s="16"/>
      <c r="Q32" s="16"/>
      <c r="R32" s="16"/>
    </row>
    <row r="33" spans="2:18" s="15" customFormat="1" ht="12.75" x14ac:dyDescent="0.2">
      <c r="B33" s="16"/>
      <c r="C33" s="16"/>
      <c r="D33" s="16"/>
      <c r="E33" s="16"/>
      <c r="F33" s="16"/>
      <c r="G33" s="16"/>
      <c r="H33" s="16"/>
      <c r="I33" s="16"/>
      <c r="J33" s="16"/>
      <c r="K33" s="16"/>
      <c r="L33" s="16"/>
      <c r="M33" s="16"/>
      <c r="N33" s="16"/>
      <c r="O33" s="16"/>
      <c r="P33" s="16"/>
      <c r="Q33" s="16"/>
      <c r="R33" s="16"/>
    </row>
    <row r="34" spans="2:18" s="15" customFormat="1" ht="12.75" x14ac:dyDescent="0.2">
      <c r="B34" s="16"/>
      <c r="C34" s="16"/>
      <c r="D34" s="16"/>
      <c r="E34" s="16"/>
      <c r="F34" s="16"/>
      <c r="G34" s="16"/>
      <c r="H34" s="16"/>
      <c r="I34" s="16"/>
      <c r="J34" s="16"/>
      <c r="K34" s="16"/>
      <c r="L34" s="16"/>
      <c r="M34" s="16"/>
      <c r="N34" s="16"/>
      <c r="O34" s="16"/>
      <c r="P34" s="16"/>
      <c r="Q34" s="16"/>
      <c r="R34" s="16"/>
    </row>
    <row r="35" spans="2:18" s="15" customFormat="1" ht="12.75" x14ac:dyDescent="0.2"/>
    <row r="36" spans="2:18" s="15" customFormat="1" ht="12.75" x14ac:dyDescent="0.2"/>
    <row r="37" spans="2:18" s="15" customFormat="1" ht="12.75" x14ac:dyDescent="0.2"/>
    <row r="38" spans="2:18" s="15" customFormat="1" ht="12.75" x14ac:dyDescent="0.2"/>
    <row r="39" spans="2:18" s="15" customFormat="1" ht="12.75" x14ac:dyDescent="0.2"/>
    <row r="40" spans="2:18" s="15" customFormat="1" ht="12.75" x14ac:dyDescent="0.2"/>
    <row r="41" spans="2:18" s="15" customFormat="1" ht="12.75" x14ac:dyDescent="0.2"/>
    <row r="42" spans="2:18" s="15" customFormat="1" ht="12.75" x14ac:dyDescent="0.2"/>
    <row r="43" spans="2:18" s="15" customFormat="1" ht="12.75" x14ac:dyDescent="0.2"/>
    <row r="44" spans="2:18" s="15" customFormat="1" ht="12.75" x14ac:dyDescent="0.2"/>
    <row r="45" spans="2:18" s="15" customFormat="1" ht="12.75" x14ac:dyDescent="0.2"/>
    <row r="46" spans="2:18" s="15" customFormat="1" ht="12.75" x14ac:dyDescent="0.2"/>
    <row r="47" spans="2:18" s="15" customFormat="1" ht="12.75" x14ac:dyDescent="0.2"/>
    <row r="48" spans="2:18" s="15" customFormat="1" ht="12.75" x14ac:dyDescent="0.2"/>
    <row r="49" s="15" customFormat="1" ht="12.75" x14ac:dyDescent="0.2"/>
    <row r="50" s="15" customFormat="1" ht="12.75" x14ac:dyDescent="0.2"/>
    <row r="51" s="15" customFormat="1" ht="12.75" x14ac:dyDescent="0.2"/>
    <row r="52" s="15" customFormat="1" ht="12.75" x14ac:dyDescent="0.2"/>
    <row r="53" s="15" customFormat="1" ht="12.75" x14ac:dyDescent="0.2"/>
    <row r="54" s="15" customFormat="1" ht="12.75" x14ac:dyDescent="0.2"/>
    <row r="55" s="15" customFormat="1" ht="12.75" x14ac:dyDescent="0.2"/>
    <row r="56" s="15" customFormat="1" ht="12.75" x14ac:dyDescent="0.2"/>
    <row r="57" s="15" customFormat="1" ht="12.75" x14ac:dyDescent="0.2"/>
    <row r="58" s="15" customFormat="1" ht="12.75" x14ac:dyDescent="0.2"/>
    <row r="59" s="15" customFormat="1" ht="12.75" x14ac:dyDescent="0.2"/>
    <row r="60" s="15" customFormat="1" ht="12.75" x14ac:dyDescent="0.2"/>
    <row r="61" s="15" customFormat="1" ht="12.75" x14ac:dyDescent="0.2"/>
    <row r="62" s="15" customFormat="1" ht="12.75" x14ac:dyDescent="0.2"/>
    <row r="63" s="15" customFormat="1" ht="12.75" x14ac:dyDescent="0.2"/>
    <row r="64" s="15" customFormat="1" ht="12.75" x14ac:dyDescent="0.2"/>
    <row r="65" s="15" customFormat="1" ht="12.75" x14ac:dyDescent="0.2"/>
    <row r="66" s="15" customFormat="1" ht="12.75" x14ac:dyDescent="0.2"/>
    <row r="67" s="15" customFormat="1" ht="12.75" x14ac:dyDescent="0.2"/>
    <row r="68" s="15" customFormat="1" ht="12.75" x14ac:dyDescent="0.2"/>
    <row r="69" s="15" customFormat="1" ht="12.75" x14ac:dyDescent="0.2"/>
  </sheetData>
  <mergeCells count="60">
    <mergeCell ref="C12:C19"/>
    <mergeCell ref="A20:G20"/>
    <mergeCell ref="A22:Q22"/>
    <mergeCell ref="S20:S21"/>
    <mergeCell ref="D21:E21"/>
    <mergeCell ref="P20:P21"/>
    <mergeCell ref="Q20:Q21"/>
    <mergeCell ref="R20:R21"/>
    <mergeCell ref="M20:M21"/>
    <mergeCell ref="N20:N21"/>
    <mergeCell ref="L20:L21"/>
    <mergeCell ref="S11:S12"/>
    <mergeCell ref="P11:P12"/>
    <mergeCell ref="Q11:Q12"/>
    <mergeCell ref="R11:R12"/>
    <mergeCell ref="H20:H21"/>
    <mergeCell ref="I20:I21"/>
    <mergeCell ref="J20:J21"/>
    <mergeCell ref="K20:K21"/>
    <mergeCell ref="O11:O12"/>
    <mergeCell ref="O20:O21"/>
    <mergeCell ref="L11:L12"/>
    <mergeCell ref="M11:M12"/>
    <mergeCell ref="N11:N12"/>
    <mergeCell ref="Q9:Q10"/>
    <mergeCell ref="R9:R10"/>
    <mergeCell ref="G9:G10"/>
    <mergeCell ref="H9:M9"/>
    <mergeCell ref="S9:S10"/>
    <mergeCell ref="N9:N10"/>
    <mergeCell ref="O9:O10"/>
    <mergeCell ref="P9:P10"/>
    <mergeCell ref="A8:N8"/>
    <mergeCell ref="A9:A10"/>
    <mergeCell ref="B9:B10"/>
    <mergeCell ref="C9:C10"/>
    <mergeCell ref="D9:E10"/>
    <mergeCell ref="F9:F10"/>
    <mergeCell ref="A7:S7"/>
    <mergeCell ref="A1:D3"/>
    <mergeCell ref="E1:S3"/>
    <mergeCell ref="A4:S4"/>
    <mergeCell ref="A5:S5"/>
    <mergeCell ref="A6:S6"/>
    <mergeCell ref="A11:G11"/>
    <mergeCell ref="H11:H12"/>
    <mergeCell ref="I11:I12"/>
    <mergeCell ref="J11:J12"/>
    <mergeCell ref="K11:K12"/>
    <mergeCell ref="A12:A19"/>
    <mergeCell ref="B12:B19"/>
    <mergeCell ref="D12:E12"/>
    <mergeCell ref="F12:F18"/>
    <mergeCell ref="D13:E13"/>
    <mergeCell ref="D14:E14"/>
    <mergeCell ref="D15:E15"/>
    <mergeCell ref="D16:E16"/>
    <mergeCell ref="D17:E17"/>
    <mergeCell ref="D18:E18"/>
    <mergeCell ref="D19:E19"/>
  </mergeCells>
  <pageMargins left="0.7" right="0.7" top="0.75" bottom="0.75" header="0.3" footer="0.3"/>
  <pageSetup orientation="portrait" horizontalDpi="4294967292" verticalDpi="4294967292" r:id="rId1"/>
  <ignoredErrors>
    <ignoredError sqref="F12 P2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F28"/>
  <sheetViews>
    <sheetView showGridLines="0" topLeftCell="F1" zoomScale="70" zoomScaleNormal="70" zoomScalePageLayoutView="85" workbookViewId="0">
      <selection activeCell="S11" sqref="S11:S12"/>
    </sheetView>
  </sheetViews>
  <sheetFormatPr baseColWidth="10" defaultColWidth="0" defaultRowHeight="12.75" customHeight="1" x14ac:dyDescent="0.2"/>
  <cols>
    <col min="1" max="1" width="21.42578125" style="1" customWidth="1"/>
    <col min="2" max="2" width="22.140625" style="1" customWidth="1"/>
    <col min="3" max="3" width="10.28515625" style="1" customWidth="1"/>
    <col min="4" max="5" width="20.7109375" style="1" customWidth="1"/>
    <col min="6" max="6" width="10.28515625" style="1" customWidth="1"/>
    <col min="7" max="7" width="15.28515625" style="1" bestFit="1" customWidth="1"/>
    <col min="8" max="8" width="15.28515625" style="1" customWidth="1"/>
    <col min="9" max="9" width="41.85546875" style="1" customWidth="1"/>
    <col min="10" max="10" width="16.7109375" style="1" customWidth="1"/>
    <col min="11" max="11" width="20.28515625" style="1" customWidth="1"/>
    <col min="12" max="12" width="14.42578125" style="1" customWidth="1"/>
    <col min="13" max="13" width="18.28515625" style="1" bestFit="1" customWidth="1"/>
    <col min="14" max="14" width="10.5703125" style="1" customWidth="1"/>
    <col min="15" max="15" width="14.140625" style="1" customWidth="1"/>
    <col min="16" max="17" width="17.28515625" style="1" customWidth="1"/>
    <col min="18" max="18" width="17.7109375" style="1" customWidth="1"/>
    <col min="19" max="19" width="51" style="1" customWidth="1"/>
    <col min="20" max="20" width="8.7109375" style="1" customWidth="1"/>
    <col min="21" max="32" width="0" style="1" hidden="1" customWidth="1"/>
    <col min="33" max="16384" width="11.42578125" style="1" hidden="1"/>
  </cols>
  <sheetData>
    <row r="1" spans="1:20" ht="18.75" customHeight="1" x14ac:dyDescent="0.2">
      <c r="A1" s="268"/>
      <c r="B1" s="268"/>
      <c r="C1" s="268"/>
      <c r="D1" s="268"/>
      <c r="E1" s="269" t="s">
        <v>0</v>
      </c>
      <c r="F1" s="270"/>
      <c r="G1" s="270"/>
      <c r="H1" s="270"/>
      <c r="I1" s="270"/>
      <c r="J1" s="270"/>
      <c r="K1" s="270"/>
      <c r="L1" s="270"/>
      <c r="M1" s="270"/>
      <c r="N1" s="270"/>
      <c r="O1" s="270"/>
      <c r="P1" s="270"/>
      <c r="Q1" s="270"/>
      <c r="R1" s="270"/>
      <c r="S1" s="271"/>
    </row>
    <row r="2" spans="1:20" ht="13.5" customHeight="1" x14ac:dyDescent="0.2">
      <c r="A2" s="268"/>
      <c r="B2" s="268"/>
      <c r="C2" s="268"/>
      <c r="D2" s="268"/>
      <c r="E2" s="272"/>
      <c r="F2" s="273"/>
      <c r="G2" s="273"/>
      <c r="H2" s="273"/>
      <c r="I2" s="273"/>
      <c r="J2" s="273"/>
      <c r="K2" s="273"/>
      <c r="L2" s="273"/>
      <c r="M2" s="273"/>
      <c r="N2" s="273"/>
      <c r="O2" s="273"/>
      <c r="P2" s="273"/>
      <c r="Q2" s="273"/>
      <c r="R2" s="273"/>
      <c r="S2" s="274"/>
    </row>
    <row r="3" spans="1:20" ht="13.5" customHeight="1" x14ac:dyDescent="0.2">
      <c r="A3" s="268"/>
      <c r="B3" s="268"/>
      <c r="C3" s="268"/>
      <c r="D3" s="268"/>
      <c r="E3" s="275"/>
      <c r="F3" s="276"/>
      <c r="G3" s="276"/>
      <c r="H3" s="276"/>
      <c r="I3" s="276"/>
      <c r="J3" s="276"/>
      <c r="K3" s="276"/>
      <c r="L3" s="276"/>
      <c r="M3" s="276"/>
      <c r="N3" s="276"/>
      <c r="O3" s="276"/>
      <c r="P3" s="276"/>
      <c r="Q3" s="276"/>
      <c r="R3" s="276"/>
      <c r="S3" s="277"/>
    </row>
    <row r="4" spans="1:20" x14ac:dyDescent="0.2">
      <c r="A4" s="279" t="s">
        <v>24</v>
      </c>
      <c r="B4" s="279"/>
      <c r="C4" s="279"/>
      <c r="D4" s="279"/>
      <c r="E4" s="279"/>
      <c r="F4" s="279"/>
      <c r="G4" s="279"/>
      <c r="H4" s="279"/>
      <c r="I4" s="279"/>
      <c r="J4" s="279"/>
      <c r="K4" s="279"/>
      <c r="L4" s="279"/>
      <c r="M4" s="279"/>
      <c r="N4" s="279"/>
      <c r="O4" s="279"/>
      <c r="P4" s="279"/>
      <c r="Q4" s="279"/>
      <c r="R4" s="279"/>
      <c r="S4" s="279"/>
    </row>
    <row r="5" spans="1:20" x14ac:dyDescent="0.2">
      <c r="A5" s="279" t="s">
        <v>106</v>
      </c>
      <c r="B5" s="279"/>
      <c r="C5" s="279"/>
      <c r="D5" s="279"/>
      <c r="E5" s="279"/>
      <c r="F5" s="279"/>
      <c r="G5" s="279"/>
      <c r="H5" s="279"/>
      <c r="I5" s="279"/>
      <c r="J5" s="279"/>
      <c r="K5" s="279"/>
      <c r="L5" s="279"/>
      <c r="M5" s="279"/>
      <c r="N5" s="279"/>
      <c r="O5" s="279"/>
      <c r="P5" s="279"/>
      <c r="Q5" s="279"/>
      <c r="R5" s="279"/>
      <c r="S5" s="279"/>
    </row>
    <row r="6" spans="1:20" x14ac:dyDescent="0.2">
      <c r="A6" s="279" t="s">
        <v>368</v>
      </c>
      <c r="B6" s="279"/>
      <c r="C6" s="279"/>
      <c r="D6" s="279"/>
      <c r="E6" s="279"/>
      <c r="F6" s="279"/>
      <c r="G6" s="279"/>
      <c r="H6" s="279"/>
      <c r="I6" s="279"/>
      <c r="J6" s="279"/>
      <c r="K6" s="279"/>
      <c r="L6" s="279"/>
      <c r="M6" s="279"/>
      <c r="N6" s="279"/>
      <c r="O6" s="279"/>
      <c r="P6" s="279"/>
      <c r="Q6" s="279"/>
      <c r="R6" s="279"/>
      <c r="S6" s="279"/>
    </row>
    <row r="7" spans="1:20" ht="15.75" customHeight="1" x14ac:dyDescent="0.2">
      <c r="A7" s="362"/>
      <c r="B7" s="362"/>
      <c r="C7" s="362"/>
      <c r="D7" s="362"/>
      <c r="E7" s="362"/>
      <c r="F7" s="362"/>
      <c r="G7" s="362"/>
      <c r="H7" s="362"/>
      <c r="I7" s="362"/>
      <c r="J7" s="362"/>
      <c r="K7" s="362"/>
      <c r="L7" s="362"/>
      <c r="M7" s="362"/>
      <c r="N7" s="362"/>
      <c r="O7" s="362"/>
      <c r="P7" s="362"/>
      <c r="Q7" s="362"/>
      <c r="R7" s="362"/>
      <c r="S7" s="362"/>
    </row>
    <row r="8" spans="1:20" ht="15.75" customHeight="1" x14ac:dyDescent="0.2">
      <c r="A8" s="278" t="s">
        <v>2</v>
      </c>
      <c r="B8" s="278"/>
      <c r="C8" s="278"/>
      <c r="D8" s="278"/>
      <c r="E8" s="278"/>
      <c r="F8" s="278"/>
      <c r="G8" s="278"/>
      <c r="H8" s="278"/>
      <c r="I8" s="278"/>
      <c r="J8" s="278"/>
      <c r="K8" s="278"/>
      <c r="L8" s="278"/>
      <c r="M8" s="278"/>
      <c r="N8" s="278"/>
      <c r="O8" s="213"/>
      <c r="P8" s="135"/>
      <c r="Q8" s="135"/>
      <c r="R8" s="135"/>
      <c r="S8" s="215"/>
      <c r="T8" s="13"/>
    </row>
    <row r="9" spans="1:20" ht="11.25" customHeight="1" x14ac:dyDescent="0.2">
      <c r="A9" s="288" t="s">
        <v>132</v>
      </c>
      <c r="B9" s="288" t="s">
        <v>430</v>
      </c>
      <c r="C9" s="286" t="s">
        <v>4</v>
      </c>
      <c r="D9" s="288" t="s">
        <v>5</v>
      </c>
      <c r="E9" s="288"/>
      <c r="F9" s="286" t="s">
        <v>4</v>
      </c>
      <c r="G9" s="288" t="s">
        <v>6</v>
      </c>
      <c r="H9" s="288" t="s">
        <v>7</v>
      </c>
      <c r="I9" s="288"/>
      <c r="J9" s="288"/>
      <c r="K9" s="288"/>
      <c r="L9" s="288"/>
      <c r="M9" s="288"/>
      <c r="N9" s="286" t="s">
        <v>4</v>
      </c>
      <c r="O9" s="290" t="s">
        <v>531</v>
      </c>
      <c r="P9" s="286" t="s">
        <v>8</v>
      </c>
      <c r="Q9" s="286" t="s">
        <v>9</v>
      </c>
      <c r="R9" s="286" t="s">
        <v>10</v>
      </c>
      <c r="S9" s="290" t="s">
        <v>535</v>
      </c>
    </row>
    <row r="10" spans="1:20" ht="43.5" customHeight="1" x14ac:dyDescent="0.2">
      <c r="A10" s="288"/>
      <c r="B10" s="288"/>
      <c r="C10" s="286"/>
      <c r="D10" s="288"/>
      <c r="E10" s="288"/>
      <c r="F10" s="286"/>
      <c r="G10" s="288"/>
      <c r="H10" s="135" t="s">
        <v>43</v>
      </c>
      <c r="I10" s="144" t="s">
        <v>42</v>
      </c>
      <c r="J10" s="144" t="s">
        <v>47</v>
      </c>
      <c r="K10" s="135" t="s">
        <v>31</v>
      </c>
      <c r="L10" s="144" t="s">
        <v>48</v>
      </c>
      <c r="M10" s="144" t="s">
        <v>52</v>
      </c>
      <c r="N10" s="286"/>
      <c r="O10" s="290"/>
      <c r="P10" s="286"/>
      <c r="Q10" s="286"/>
      <c r="R10" s="286"/>
      <c r="S10" s="291"/>
    </row>
    <row r="11" spans="1:20" ht="12.75" customHeight="1" x14ac:dyDescent="0.2">
      <c r="A11" s="292" t="s">
        <v>226</v>
      </c>
      <c r="B11" s="292"/>
      <c r="C11" s="292"/>
      <c r="D11" s="292"/>
      <c r="E11" s="292"/>
      <c r="F11" s="292"/>
      <c r="G11" s="292"/>
      <c r="H11" s="324" t="s">
        <v>229</v>
      </c>
      <c r="I11" s="283" t="s">
        <v>227</v>
      </c>
      <c r="J11" s="360" t="s">
        <v>35</v>
      </c>
      <c r="K11" s="283" t="s">
        <v>230</v>
      </c>
      <c r="L11" s="360" t="s">
        <v>30</v>
      </c>
      <c r="M11" s="358">
        <v>1000000000</v>
      </c>
      <c r="N11" s="299">
        <v>0.08</v>
      </c>
      <c r="O11" s="358">
        <v>900000000</v>
      </c>
      <c r="P11" s="347">
        <f>O11/M11</f>
        <v>0.9</v>
      </c>
      <c r="Q11" s="345">
        <f>IF(P11&lt;=100%,P11*N11,N11)</f>
        <v>7.2000000000000008E-2</v>
      </c>
      <c r="R11" s="308">
        <f>+(Q11/9)*100</f>
        <v>0.8</v>
      </c>
      <c r="S11" s="331" t="s">
        <v>543</v>
      </c>
    </row>
    <row r="12" spans="1:20" ht="188.25" customHeight="1" x14ac:dyDescent="0.2">
      <c r="A12" s="283" t="s">
        <v>122</v>
      </c>
      <c r="B12" s="320" t="s">
        <v>13</v>
      </c>
      <c r="C12" s="299">
        <f>+SUM(F12:F13)</f>
        <v>0.09</v>
      </c>
      <c r="D12" s="305" t="s">
        <v>417</v>
      </c>
      <c r="E12" s="306"/>
      <c r="F12" s="137">
        <f>+N11</f>
        <v>0.08</v>
      </c>
      <c r="G12" s="134" t="s">
        <v>228</v>
      </c>
      <c r="H12" s="325"/>
      <c r="I12" s="284"/>
      <c r="J12" s="361"/>
      <c r="K12" s="284"/>
      <c r="L12" s="361"/>
      <c r="M12" s="359"/>
      <c r="N12" s="301"/>
      <c r="O12" s="359"/>
      <c r="P12" s="348"/>
      <c r="Q12" s="346"/>
      <c r="R12" s="309"/>
      <c r="S12" s="332"/>
    </row>
    <row r="13" spans="1:20" ht="72" customHeight="1" x14ac:dyDescent="0.2">
      <c r="A13" s="333"/>
      <c r="B13" s="321"/>
      <c r="C13" s="300"/>
      <c r="D13" s="287" t="s">
        <v>26</v>
      </c>
      <c r="E13" s="287"/>
      <c r="F13" s="140">
        <f>+N13</f>
        <v>0.01</v>
      </c>
      <c r="G13" s="134" t="s">
        <v>25</v>
      </c>
      <c r="H13" s="134" t="s">
        <v>58</v>
      </c>
      <c r="I13" s="134" t="s">
        <v>418</v>
      </c>
      <c r="J13" s="134" t="s">
        <v>35</v>
      </c>
      <c r="K13" s="134" t="s">
        <v>27</v>
      </c>
      <c r="L13" s="134" t="s">
        <v>30</v>
      </c>
      <c r="M13" s="141">
        <v>8500</v>
      </c>
      <c r="N13" s="137">
        <v>0.01</v>
      </c>
      <c r="O13" s="222">
        <v>8630</v>
      </c>
      <c r="P13" s="139">
        <f>O13/M13</f>
        <v>1.0152941176470589</v>
      </c>
      <c r="Q13" s="136">
        <f>IF(P13&lt;=100%,P13*N13,N13)</f>
        <v>0.01</v>
      </c>
      <c r="R13" s="136">
        <f>(Q13/9)*100</f>
        <v>0.1111111111111111</v>
      </c>
      <c r="S13" s="179" t="s">
        <v>542</v>
      </c>
    </row>
    <row r="14" spans="1:20" ht="16.5" customHeight="1" x14ac:dyDescent="0.2">
      <c r="A14" s="304" t="s">
        <v>12</v>
      </c>
      <c r="B14" s="304"/>
      <c r="C14" s="304"/>
      <c r="D14" s="304"/>
      <c r="E14" s="304"/>
      <c r="F14" s="304"/>
      <c r="G14" s="304"/>
      <c r="H14" s="304"/>
      <c r="I14" s="304"/>
      <c r="J14" s="304"/>
      <c r="K14" s="304"/>
      <c r="L14" s="304"/>
      <c r="M14" s="304"/>
      <c r="N14" s="304"/>
      <c r="O14" s="304"/>
      <c r="P14" s="304"/>
      <c r="Q14" s="304"/>
      <c r="R14" s="54">
        <f>SUM(R11:R13)</f>
        <v>0.9111111111111112</v>
      </c>
      <c r="S14" s="216"/>
    </row>
    <row r="15" spans="1:20" x14ac:dyDescent="0.2">
      <c r="R15" s="13"/>
    </row>
    <row r="16" spans="1:20" ht="38.25" customHeight="1" x14ac:dyDescent="0.2">
      <c r="F16" s="153">
        <f>+F13+F12</f>
        <v>0.09</v>
      </c>
      <c r="O16" s="204"/>
      <c r="S16" s="132" t="s">
        <v>366</v>
      </c>
    </row>
    <row r="23" spans="2:18" x14ac:dyDescent="0.2">
      <c r="B23" s="14"/>
      <c r="C23" s="14"/>
      <c r="D23" s="14"/>
      <c r="E23" s="14"/>
      <c r="F23" s="14"/>
      <c r="G23" s="14"/>
      <c r="H23" s="14"/>
      <c r="I23" s="14"/>
      <c r="J23" s="14"/>
      <c r="K23" s="14"/>
      <c r="L23" s="14"/>
      <c r="M23" s="14"/>
      <c r="N23" s="14"/>
      <c r="O23" s="14"/>
      <c r="P23" s="14"/>
      <c r="Q23" s="14"/>
      <c r="R23" s="14"/>
    </row>
    <row r="24" spans="2:18" x14ac:dyDescent="0.2">
      <c r="B24" s="14"/>
      <c r="C24" s="14"/>
      <c r="D24" s="14"/>
      <c r="E24" s="14"/>
      <c r="F24" s="14"/>
      <c r="G24" s="14"/>
      <c r="H24" s="14"/>
      <c r="I24" s="14"/>
      <c r="J24" s="14"/>
      <c r="K24" s="14"/>
      <c r="L24" s="14"/>
      <c r="M24" s="14"/>
      <c r="N24" s="14"/>
      <c r="O24" s="14"/>
      <c r="P24" s="14"/>
      <c r="Q24" s="14"/>
      <c r="R24" s="14"/>
    </row>
    <row r="25" spans="2:18" x14ac:dyDescent="0.2">
      <c r="B25" s="14"/>
      <c r="C25" s="14"/>
      <c r="D25" s="14"/>
      <c r="E25" s="14"/>
      <c r="F25" s="14"/>
      <c r="G25" s="14"/>
      <c r="H25" s="14"/>
      <c r="I25" s="14"/>
      <c r="J25" s="14"/>
      <c r="K25" s="14"/>
      <c r="L25" s="14"/>
      <c r="M25" s="14"/>
      <c r="N25" s="14"/>
      <c r="O25" s="14"/>
      <c r="P25" s="14"/>
      <c r="Q25" s="14"/>
      <c r="R25" s="14"/>
    </row>
    <row r="26" spans="2:18" x14ac:dyDescent="0.2">
      <c r="B26" s="14"/>
      <c r="C26" s="14"/>
      <c r="D26" s="14"/>
      <c r="E26" s="14"/>
      <c r="F26" s="14"/>
      <c r="G26" s="14"/>
      <c r="H26" s="14"/>
      <c r="I26" s="14"/>
      <c r="J26" s="14"/>
      <c r="K26" s="14"/>
      <c r="L26" s="14"/>
      <c r="M26" s="14"/>
      <c r="N26" s="14"/>
      <c r="O26" s="14"/>
      <c r="P26" s="14"/>
      <c r="Q26" s="14"/>
      <c r="R26" s="14"/>
    </row>
    <row r="27" spans="2:18" x14ac:dyDescent="0.2">
      <c r="B27" s="14"/>
      <c r="C27" s="14"/>
      <c r="D27" s="14"/>
      <c r="E27" s="14"/>
      <c r="F27" s="14"/>
      <c r="G27" s="14"/>
      <c r="H27" s="14"/>
      <c r="I27" s="14"/>
      <c r="J27" s="14"/>
      <c r="K27" s="14"/>
      <c r="L27" s="14"/>
      <c r="M27" s="14"/>
      <c r="N27" s="14"/>
      <c r="O27" s="14"/>
      <c r="P27" s="14"/>
      <c r="Q27" s="14"/>
      <c r="R27" s="14"/>
    </row>
    <row r="28" spans="2:18" x14ac:dyDescent="0.2">
      <c r="B28" s="14"/>
      <c r="C28" s="14"/>
      <c r="D28" s="14"/>
      <c r="E28" s="14"/>
      <c r="F28" s="14"/>
      <c r="G28" s="14"/>
      <c r="H28" s="14"/>
      <c r="I28" s="14"/>
      <c r="J28" s="14"/>
      <c r="K28" s="14"/>
      <c r="L28" s="14"/>
      <c r="M28" s="14"/>
      <c r="N28" s="14"/>
      <c r="O28" s="14"/>
      <c r="P28" s="14"/>
      <c r="Q28" s="14"/>
      <c r="R28" s="14"/>
    </row>
  </sheetData>
  <mergeCells count="39">
    <mergeCell ref="A14:Q14"/>
    <mergeCell ref="S9:S10"/>
    <mergeCell ref="D13:E13"/>
    <mergeCell ref="P9:P10"/>
    <mergeCell ref="Q9:Q10"/>
    <mergeCell ref="R9:R10"/>
    <mergeCell ref="G9:G10"/>
    <mergeCell ref="A9:A10"/>
    <mergeCell ref="B9:B10"/>
    <mergeCell ref="C9:C10"/>
    <mergeCell ref="D9:E10"/>
    <mergeCell ref="A12:A13"/>
    <mergeCell ref="B12:B13"/>
    <mergeCell ref="D12:E12"/>
    <mergeCell ref="A8:N8"/>
    <mergeCell ref="A7:S7"/>
    <mergeCell ref="F9:F10"/>
    <mergeCell ref="H9:M9"/>
    <mergeCell ref="N9:N10"/>
    <mergeCell ref="O9:O10"/>
    <mergeCell ref="A4:S4"/>
    <mergeCell ref="A1:D3"/>
    <mergeCell ref="E1:S3"/>
    <mergeCell ref="A5:S5"/>
    <mergeCell ref="A6:S6"/>
    <mergeCell ref="S11:S12"/>
    <mergeCell ref="C12:C13"/>
    <mergeCell ref="P11:P12"/>
    <mergeCell ref="Q11:Q12"/>
    <mergeCell ref="N11:N12"/>
    <mergeCell ref="R11:R12"/>
    <mergeCell ref="M11:M12"/>
    <mergeCell ref="A11:G11"/>
    <mergeCell ref="J11:J12"/>
    <mergeCell ref="O11:O12"/>
    <mergeCell ref="I11:I12"/>
    <mergeCell ref="H11:H12"/>
    <mergeCell ref="L11:L12"/>
    <mergeCell ref="K11:K12"/>
  </mergeCells>
  <pageMargins left="0.70866141732283472" right="0.70866141732283472" top="0.74803149606299213" bottom="0.74803149606299213" header="0.31496062992125984" footer="0.31496062992125984"/>
  <pageSetup paperSize="133"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25"/>
  <sheetViews>
    <sheetView showGridLines="0" topLeftCell="B1" zoomScale="70" zoomScaleNormal="70" workbookViewId="0">
      <selection activeCell="S11" sqref="S11:S12"/>
    </sheetView>
  </sheetViews>
  <sheetFormatPr baseColWidth="10" defaultRowHeight="12.75" x14ac:dyDescent="0.2"/>
  <cols>
    <col min="1" max="1" width="19.7109375" style="20" customWidth="1"/>
    <col min="2" max="2" width="19.42578125" style="12" customWidth="1"/>
    <col min="3" max="3" width="10.42578125" style="12" customWidth="1"/>
    <col min="4" max="4" width="16.5703125" style="12" customWidth="1"/>
    <col min="5" max="5" width="19.7109375" style="12" customWidth="1"/>
    <col min="6" max="6" width="10.140625" style="12" customWidth="1"/>
    <col min="7" max="7" width="14.7109375" style="20" customWidth="1"/>
    <col min="8" max="8" width="21" style="12" customWidth="1"/>
    <col min="9" max="9" width="23.7109375" style="12" customWidth="1"/>
    <col min="10" max="10" width="10.7109375" style="12" customWidth="1"/>
    <col min="11" max="11" width="25.42578125" style="12" customWidth="1"/>
    <col min="12" max="12" width="12.42578125" style="12" customWidth="1"/>
    <col min="13" max="13" width="13.42578125" style="12" customWidth="1"/>
    <col min="14" max="14" width="10.28515625" style="12" customWidth="1"/>
    <col min="15" max="15" width="14" style="12" customWidth="1"/>
    <col min="16" max="16" width="13" style="20" customWidth="1"/>
    <col min="17" max="17" width="14.85546875" style="20" customWidth="1"/>
    <col min="18" max="18" width="12.42578125" style="20" customWidth="1"/>
    <col min="19" max="19" width="46.140625" style="12" customWidth="1"/>
    <col min="20" max="16384" width="11.42578125" style="12"/>
  </cols>
  <sheetData>
    <row r="1" spans="1:19" ht="13.5" customHeight="1" x14ac:dyDescent="0.2">
      <c r="A1" s="371" t="s">
        <v>134</v>
      </c>
      <c r="B1" s="371"/>
      <c r="C1" s="371"/>
      <c r="D1" s="371"/>
      <c r="E1" s="269" t="s">
        <v>0</v>
      </c>
      <c r="F1" s="270"/>
      <c r="G1" s="270"/>
      <c r="H1" s="270"/>
      <c r="I1" s="270"/>
      <c r="J1" s="270"/>
      <c r="K1" s="270"/>
      <c r="L1" s="270"/>
      <c r="M1" s="270"/>
      <c r="N1" s="270"/>
      <c r="O1" s="270"/>
      <c r="P1" s="270"/>
      <c r="Q1" s="270"/>
      <c r="R1" s="270"/>
      <c r="S1" s="271"/>
    </row>
    <row r="2" spans="1:19" ht="13.5" customHeight="1" x14ac:dyDescent="0.2">
      <c r="A2" s="371"/>
      <c r="B2" s="371"/>
      <c r="C2" s="371"/>
      <c r="D2" s="371"/>
      <c r="E2" s="272"/>
      <c r="F2" s="273"/>
      <c r="G2" s="273"/>
      <c r="H2" s="273"/>
      <c r="I2" s="273"/>
      <c r="J2" s="273"/>
      <c r="K2" s="273"/>
      <c r="L2" s="273"/>
      <c r="M2" s="273"/>
      <c r="N2" s="273"/>
      <c r="O2" s="273"/>
      <c r="P2" s="273"/>
      <c r="Q2" s="273"/>
      <c r="R2" s="273"/>
      <c r="S2" s="274"/>
    </row>
    <row r="3" spans="1:19" ht="13.5" customHeight="1" x14ac:dyDescent="0.2">
      <c r="A3" s="371"/>
      <c r="B3" s="371"/>
      <c r="C3" s="371"/>
      <c r="D3" s="371"/>
      <c r="E3" s="275"/>
      <c r="F3" s="276"/>
      <c r="G3" s="276"/>
      <c r="H3" s="276"/>
      <c r="I3" s="276"/>
      <c r="J3" s="276"/>
      <c r="K3" s="276"/>
      <c r="L3" s="276"/>
      <c r="M3" s="276"/>
      <c r="N3" s="276"/>
      <c r="O3" s="276"/>
      <c r="P3" s="276"/>
      <c r="Q3" s="276"/>
      <c r="R3" s="276"/>
      <c r="S3" s="277"/>
    </row>
    <row r="4" spans="1:19" x14ac:dyDescent="0.2">
      <c r="A4" s="279" t="s">
        <v>95</v>
      </c>
      <c r="B4" s="279"/>
      <c r="C4" s="279"/>
      <c r="D4" s="279"/>
      <c r="E4" s="279"/>
      <c r="F4" s="279"/>
      <c r="G4" s="279"/>
      <c r="H4" s="279"/>
      <c r="I4" s="279"/>
      <c r="J4" s="279"/>
      <c r="K4" s="279"/>
      <c r="L4" s="279"/>
      <c r="M4" s="279"/>
      <c r="N4" s="279"/>
      <c r="O4" s="279"/>
      <c r="P4" s="279"/>
      <c r="Q4" s="279"/>
      <c r="R4" s="279"/>
      <c r="S4" s="279"/>
    </row>
    <row r="5" spans="1:19" x14ac:dyDescent="0.2">
      <c r="A5" s="279" t="s">
        <v>118</v>
      </c>
      <c r="B5" s="279"/>
      <c r="C5" s="279"/>
      <c r="D5" s="279"/>
      <c r="E5" s="279"/>
      <c r="F5" s="279"/>
      <c r="G5" s="279"/>
      <c r="H5" s="279"/>
      <c r="I5" s="279"/>
      <c r="J5" s="279"/>
      <c r="K5" s="279"/>
      <c r="L5" s="279"/>
      <c r="M5" s="279"/>
      <c r="N5" s="279"/>
      <c r="O5" s="279"/>
      <c r="P5" s="279"/>
      <c r="Q5" s="279"/>
      <c r="R5" s="279"/>
      <c r="S5" s="279"/>
    </row>
    <row r="6" spans="1:19" x14ac:dyDescent="0.2">
      <c r="A6" s="279" t="s">
        <v>368</v>
      </c>
      <c r="B6" s="279"/>
      <c r="C6" s="279"/>
      <c r="D6" s="279"/>
      <c r="E6" s="279"/>
      <c r="F6" s="279"/>
      <c r="G6" s="279"/>
      <c r="H6" s="279"/>
      <c r="I6" s="279"/>
      <c r="J6" s="279"/>
      <c r="K6" s="279"/>
      <c r="L6" s="279"/>
      <c r="M6" s="279"/>
      <c r="N6" s="279"/>
      <c r="O6" s="279"/>
      <c r="P6" s="279"/>
      <c r="Q6" s="279"/>
      <c r="R6" s="279"/>
      <c r="S6" s="279"/>
    </row>
    <row r="7" spans="1:19" x14ac:dyDescent="0.2">
      <c r="A7" s="265"/>
      <c r="B7" s="266"/>
      <c r="C7" s="266"/>
      <c r="D7" s="266"/>
      <c r="E7" s="266"/>
      <c r="F7" s="266"/>
      <c r="G7" s="266"/>
      <c r="H7" s="266"/>
      <c r="I7" s="266"/>
      <c r="J7" s="266"/>
      <c r="K7" s="266"/>
      <c r="L7" s="266"/>
      <c r="M7" s="266"/>
      <c r="N7" s="266"/>
      <c r="O7" s="266"/>
      <c r="P7" s="266"/>
      <c r="Q7" s="266"/>
      <c r="R7" s="266"/>
      <c r="S7" s="267"/>
    </row>
    <row r="8" spans="1:19" ht="12.75" customHeight="1" x14ac:dyDescent="0.2">
      <c r="A8" s="278" t="s">
        <v>2</v>
      </c>
      <c r="B8" s="278"/>
      <c r="C8" s="278"/>
      <c r="D8" s="278"/>
      <c r="E8" s="278"/>
      <c r="F8" s="278"/>
      <c r="G8" s="278"/>
      <c r="H8" s="278"/>
      <c r="I8" s="278"/>
      <c r="J8" s="278"/>
      <c r="K8" s="278"/>
      <c r="L8" s="278"/>
      <c r="M8" s="278"/>
      <c r="N8" s="278"/>
      <c r="O8" s="213"/>
      <c r="P8" s="67"/>
      <c r="Q8" s="67"/>
      <c r="R8" s="67"/>
      <c r="S8" s="215"/>
    </row>
    <row r="9" spans="1:19" ht="12.75" customHeight="1" x14ac:dyDescent="0.2">
      <c r="A9" s="288" t="s">
        <v>132</v>
      </c>
      <c r="B9" s="288" t="s">
        <v>3</v>
      </c>
      <c r="C9" s="286" t="s">
        <v>4</v>
      </c>
      <c r="D9" s="288" t="s">
        <v>5</v>
      </c>
      <c r="E9" s="288"/>
      <c r="F9" s="286" t="s">
        <v>4</v>
      </c>
      <c r="G9" s="288" t="s">
        <v>6</v>
      </c>
      <c r="H9" s="314" t="s">
        <v>41</v>
      </c>
      <c r="I9" s="314"/>
      <c r="J9" s="314"/>
      <c r="K9" s="314"/>
      <c r="L9" s="314"/>
      <c r="M9" s="314"/>
      <c r="N9" s="286" t="s">
        <v>4</v>
      </c>
      <c r="O9" s="290" t="s">
        <v>531</v>
      </c>
      <c r="P9" s="286" t="s">
        <v>8</v>
      </c>
      <c r="Q9" s="286" t="s">
        <v>9</v>
      </c>
      <c r="R9" s="286" t="s">
        <v>10</v>
      </c>
      <c r="S9" s="290" t="s">
        <v>535</v>
      </c>
    </row>
    <row r="10" spans="1:19" ht="57.75" customHeight="1" x14ac:dyDescent="0.2">
      <c r="A10" s="288"/>
      <c r="B10" s="288"/>
      <c r="C10" s="286"/>
      <c r="D10" s="288"/>
      <c r="E10" s="288"/>
      <c r="F10" s="286"/>
      <c r="G10" s="288"/>
      <c r="H10" s="40" t="s">
        <v>43</v>
      </c>
      <c r="I10" s="70" t="s">
        <v>42</v>
      </c>
      <c r="J10" s="70" t="s">
        <v>47</v>
      </c>
      <c r="K10" s="40" t="s">
        <v>31</v>
      </c>
      <c r="L10" s="70" t="s">
        <v>48</v>
      </c>
      <c r="M10" s="70" t="s">
        <v>77</v>
      </c>
      <c r="N10" s="286"/>
      <c r="O10" s="290"/>
      <c r="P10" s="286"/>
      <c r="Q10" s="286"/>
      <c r="R10" s="286"/>
      <c r="S10" s="291"/>
    </row>
    <row r="11" spans="1:19" s="1" customFormat="1" ht="12.75" customHeight="1" x14ac:dyDescent="0.2">
      <c r="A11" s="292" t="s">
        <v>333</v>
      </c>
      <c r="B11" s="292"/>
      <c r="C11" s="292"/>
      <c r="D11" s="292"/>
      <c r="E11" s="292"/>
      <c r="F11" s="292"/>
      <c r="G11" s="292"/>
      <c r="H11" s="287" t="s">
        <v>304</v>
      </c>
      <c r="I11" s="287" t="s">
        <v>305</v>
      </c>
      <c r="J11" s="287" t="s">
        <v>49</v>
      </c>
      <c r="K11" s="287" t="s">
        <v>306</v>
      </c>
      <c r="L11" s="287" t="s">
        <v>30</v>
      </c>
      <c r="M11" s="368">
        <v>1</v>
      </c>
      <c r="N11" s="294">
        <v>1E-3</v>
      </c>
      <c r="O11" s="368">
        <v>0.95</v>
      </c>
      <c r="P11" s="338">
        <f>O11/M11</f>
        <v>0.95</v>
      </c>
      <c r="Q11" s="345">
        <f>IF(P11&lt;=100%,P11*N11,N11)</f>
        <v>9.5E-4</v>
      </c>
      <c r="R11" s="347">
        <f>+(Q11/2.3)*100</f>
        <v>4.1304347826086961E-2</v>
      </c>
      <c r="S11" s="370" t="s">
        <v>449</v>
      </c>
    </row>
    <row r="12" spans="1:19" s="1" customFormat="1" ht="150" customHeight="1" x14ac:dyDescent="0.2">
      <c r="A12" s="287" t="str">
        <f>+'Plan de desarrollo'!B4</f>
        <v>DIMENSIÓN 1: Creemos en la cultura ciudadana</v>
      </c>
      <c r="B12" s="287" t="str">
        <f>+'Objetivos Estratégicos'!B8</f>
        <v xml:space="preserve">Aumentar el nivel de desempeño individual y colectivo, mediante el desarrollo de competencias. </v>
      </c>
      <c r="C12" s="367">
        <f>SUM(F12:F15)</f>
        <v>3.0000000000000001E-3</v>
      </c>
      <c r="D12" s="287" t="s">
        <v>329</v>
      </c>
      <c r="E12" s="287"/>
      <c r="F12" s="66">
        <f>+N11</f>
        <v>1E-3</v>
      </c>
      <c r="G12" s="63" t="s">
        <v>311</v>
      </c>
      <c r="H12" s="293"/>
      <c r="I12" s="293"/>
      <c r="J12" s="372"/>
      <c r="K12" s="293"/>
      <c r="L12" s="293"/>
      <c r="M12" s="368"/>
      <c r="N12" s="293"/>
      <c r="O12" s="368"/>
      <c r="P12" s="338"/>
      <c r="Q12" s="346"/>
      <c r="R12" s="348"/>
      <c r="S12" s="370"/>
    </row>
    <row r="13" spans="1:19" ht="148.5" customHeight="1" x14ac:dyDescent="0.2">
      <c r="A13" s="287"/>
      <c r="B13" s="287"/>
      <c r="C13" s="367"/>
      <c r="D13" s="287" t="s">
        <v>330</v>
      </c>
      <c r="E13" s="287"/>
      <c r="F13" s="66">
        <f>+N13</f>
        <v>5.0000000000000001E-4</v>
      </c>
      <c r="G13" s="63" t="s">
        <v>311</v>
      </c>
      <c r="H13" s="63" t="s">
        <v>308</v>
      </c>
      <c r="I13" s="85" t="s">
        <v>309</v>
      </c>
      <c r="J13" s="85" t="s">
        <v>49</v>
      </c>
      <c r="K13" s="85" t="s">
        <v>310</v>
      </c>
      <c r="L13" s="63" t="s">
        <v>30</v>
      </c>
      <c r="M13" s="77">
        <v>0.9</v>
      </c>
      <c r="N13" s="66">
        <v>5.0000000000000001E-4</v>
      </c>
      <c r="O13" s="221">
        <v>0.95</v>
      </c>
      <c r="P13" s="219">
        <f>O13/M13</f>
        <v>1.0555555555555556</v>
      </c>
      <c r="Q13" s="66">
        <f>IF(P13&lt;=100%,P13*N13,N13)</f>
        <v>5.0000000000000001E-4</v>
      </c>
      <c r="R13" s="66">
        <f>(Q13/2.3)*100</f>
        <v>2.1739130434782608E-2</v>
      </c>
      <c r="S13" s="158" t="s">
        <v>450</v>
      </c>
    </row>
    <row r="14" spans="1:19" ht="145.5" customHeight="1" x14ac:dyDescent="0.2">
      <c r="A14" s="287"/>
      <c r="B14" s="287"/>
      <c r="C14" s="367"/>
      <c r="D14" s="287" t="s">
        <v>331</v>
      </c>
      <c r="E14" s="287"/>
      <c r="F14" s="66">
        <f>+N14</f>
        <v>5.0000000000000001E-4</v>
      </c>
      <c r="G14" s="63" t="s">
        <v>311</v>
      </c>
      <c r="H14" s="63" t="s">
        <v>332</v>
      </c>
      <c r="I14" s="85" t="s">
        <v>334</v>
      </c>
      <c r="J14" s="85" t="s">
        <v>32</v>
      </c>
      <c r="K14" s="85" t="s">
        <v>419</v>
      </c>
      <c r="L14" s="63" t="s">
        <v>63</v>
      </c>
      <c r="M14" s="77">
        <v>0.65</v>
      </c>
      <c r="N14" s="87">
        <v>5.0000000000000001E-4</v>
      </c>
      <c r="O14" s="221">
        <v>0.84</v>
      </c>
      <c r="P14" s="218">
        <f>O14/M14</f>
        <v>1.2923076923076922</v>
      </c>
      <c r="Q14" s="66">
        <f>IF(P14&lt;=100%,P14*N14,N14)</f>
        <v>5.0000000000000001E-4</v>
      </c>
      <c r="R14" s="66">
        <f>(Q14/2.3)*100</f>
        <v>2.1739130434782608E-2</v>
      </c>
      <c r="S14" s="158" t="s">
        <v>451</v>
      </c>
    </row>
    <row r="15" spans="1:19" s="1" customFormat="1" ht="140.25" customHeight="1" x14ac:dyDescent="0.2">
      <c r="A15" s="287"/>
      <c r="B15" s="287"/>
      <c r="C15" s="367"/>
      <c r="D15" s="287" t="s">
        <v>335</v>
      </c>
      <c r="E15" s="287"/>
      <c r="F15" s="66">
        <f>+N15</f>
        <v>1E-3</v>
      </c>
      <c r="G15" s="63" t="s">
        <v>311</v>
      </c>
      <c r="H15" s="63" t="s">
        <v>336</v>
      </c>
      <c r="I15" s="2" t="s">
        <v>337</v>
      </c>
      <c r="J15" s="63" t="s">
        <v>35</v>
      </c>
      <c r="K15" s="63" t="s">
        <v>338</v>
      </c>
      <c r="L15" s="63" t="s">
        <v>30</v>
      </c>
      <c r="M15" s="88">
        <v>1</v>
      </c>
      <c r="N15" s="105">
        <v>1E-3</v>
      </c>
      <c r="O15" s="221">
        <v>0.5</v>
      </c>
      <c r="P15" s="218">
        <f>O15/M15</f>
        <v>0.5</v>
      </c>
      <c r="Q15" s="66">
        <f>IF(P15&lt;=100%,P15*N15,N15)</f>
        <v>5.0000000000000001E-4</v>
      </c>
      <c r="R15" s="82">
        <f>(Q15/2.3)*100</f>
        <v>2.1739130434782608E-2</v>
      </c>
      <c r="S15" s="189" t="s">
        <v>452</v>
      </c>
    </row>
    <row r="16" spans="1:19" ht="12.75" customHeight="1" x14ac:dyDescent="0.2">
      <c r="A16" s="363" t="s">
        <v>312</v>
      </c>
      <c r="B16" s="363"/>
      <c r="C16" s="363"/>
      <c r="D16" s="363"/>
      <c r="E16" s="363"/>
      <c r="F16" s="363"/>
      <c r="G16" s="363"/>
      <c r="H16" s="287" t="s">
        <v>313</v>
      </c>
      <c r="I16" s="287" t="s">
        <v>314</v>
      </c>
      <c r="J16" s="287" t="s">
        <v>49</v>
      </c>
      <c r="K16" s="287" t="s">
        <v>315</v>
      </c>
      <c r="L16" s="287" t="s">
        <v>30</v>
      </c>
      <c r="M16" s="368">
        <v>0.8</v>
      </c>
      <c r="N16" s="294">
        <v>5.0000000000000001E-3</v>
      </c>
      <c r="O16" s="365">
        <v>1</v>
      </c>
      <c r="P16" s="316">
        <f>O16/M16</f>
        <v>1.25</v>
      </c>
      <c r="Q16" s="299">
        <f>IF(P16&lt;=100%,P16*N16,N16)</f>
        <v>5.0000000000000001E-3</v>
      </c>
      <c r="R16" s="299">
        <f>(Q16/2.3)*100</f>
        <v>0.21739130434782608</v>
      </c>
      <c r="S16" s="334" t="s">
        <v>453</v>
      </c>
    </row>
    <row r="17" spans="1:19" ht="75" customHeight="1" x14ac:dyDescent="0.2">
      <c r="A17" s="302" t="str">
        <f>+A12</f>
        <v>DIMENSIÓN 1: Creemos en la cultura ciudadana</v>
      </c>
      <c r="B17" s="303" t="s">
        <v>18</v>
      </c>
      <c r="C17" s="315">
        <v>0.01</v>
      </c>
      <c r="D17" s="287" t="s">
        <v>316</v>
      </c>
      <c r="E17" s="287"/>
      <c r="F17" s="66">
        <v>5.0000000000000001E-3</v>
      </c>
      <c r="G17" s="287" t="s">
        <v>311</v>
      </c>
      <c r="H17" s="287"/>
      <c r="I17" s="287"/>
      <c r="J17" s="287"/>
      <c r="K17" s="287"/>
      <c r="L17" s="287"/>
      <c r="M17" s="368"/>
      <c r="N17" s="294"/>
      <c r="O17" s="366"/>
      <c r="P17" s="316"/>
      <c r="Q17" s="301"/>
      <c r="R17" s="301"/>
      <c r="S17" s="335"/>
    </row>
    <row r="18" spans="1:19" ht="160.5" customHeight="1" x14ac:dyDescent="0.2">
      <c r="A18" s="369"/>
      <c r="B18" s="369"/>
      <c r="C18" s="369"/>
      <c r="D18" s="369"/>
      <c r="E18" s="369"/>
      <c r="F18" s="66">
        <v>5.0000000000000001E-3</v>
      </c>
      <c r="G18" s="369"/>
      <c r="H18" s="63" t="s">
        <v>317</v>
      </c>
      <c r="I18" s="63" t="s">
        <v>317</v>
      </c>
      <c r="J18" s="63" t="s">
        <v>49</v>
      </c>
      <c r="K18" s="63" t="s">
        <v>318</v>
      </c>
      <c r="L18" s="63" t="s">
        <v>30</v>
      </c>
      <c r="M18" s="71">
        <v>0.9</v>
      </c>
      <c r="N18" s="66">
        <v>5.0000000000000001E-3</v>
      </c>
      <c r="O18" s="221">
        <v>1</v>
      </c>
      <c r="P18" s="218">
        <f>O18/M18</f>
        <v>1.1111111111111112</v>
      </c>
      <c r="Q18" s="66">
        <f>IF(P18&lt;=100%,P18*N18,N18)</f>
        <v>5.0000000000000001E-3</v>
      </c>
      <c r="R18" s="66">
        <f>(Q18/2.3)*100</f>
        <v>0.21739130434782608</v>
      </c>
      <c r="S18" s="190" t="s">
        <v>454</v>
      </c>
    </row>
    <row r="19" spans="1:19" ht="12.75" customHeight="1" x14ac:dyDescent="0.2">
      <c r="A19" s="363" t="s">
        <v>319</v>
      </c>
      <c r="B19" s="363"/>
      <c r="C19" s="363"/>
      <c r="D19" s="363"/>
      <c r="E19" s="363"/>
      <c r="F19" s="363"/>
      <c r="G19" s="363"/>
      <c r="H19" s="287" t="s">
        <v>320</v>
      </c>
      <c r="I19" s="287" t="s">
        <v>321</v>
      </c>
      <c r="J19" s="287" t="s">
        <v>49</v>
      </c>
      <c r="K19" s="287" t="s">
        <v>322</v>
      </c>
      <c r="L19" s="287" t="s">
        <v>30</v>
      </c>
      <c r="M19" s="364">
        <v>0.7</v>
      </c>
      <c r="N19" s="294">
        <v>5.0000000000000001E-3</v>
      </c>
      <c r="O19" s="365">
        <v>0.7</v>
      </c>
      <c r="P19" s="294">
        <f>O19/M19</f>
        <v>1</v>
      </c>
      <c r="Q19" s="299">
        <f>IF(P19&lt;=100%,P19*N19,N19)</f>
        <v>5.0000000000000001E-3</v>
      </c>
      <c r="R19" s="299">
        <f>(Q19/2.3)*100</f>
        <v>0.21739130434782608</v>
      </c>
      <c r="S19" s="334" t="s">
        <v>455</v>
      </c>
    </row>
    <row r="20" spans="1:19" ht="127.5" customHeight="1" x14ac:dyDescent="0.2">
      <c r="A20" s="64" t="str">
        <f>+A17</f>
        <v>DIMENSIÓN 1: Creemos en la cultura ciudadana</v>
      </c>
      <c r="B20" s="65" t="str">
        <f>+B17</f>
        <v xml:space="preserve">Aumentar el nivel de desempeño individual y colectivo, mediante el desarrollo de competencias. </v>
      </c>
      <c r="C20" s="27">
        <f>+F20</f>
        <v>5.0000000000000001E-3</v>
      </c>
      <c r="D20" s="287" t="s">
        <v>323</v>
      </c>
      <c r="E20" s="287"/>
      <c r="F20" s="66">
        <f>+N19</f>
        <v>5.0000000000000001E-3</v>
      </c>
      <c r="G20" s="63" t="s">
        <v>307</v>
      </c>
      <c r="H20" s="287"/>
      <c r="I20" s="287"/>
      <c r="J20" s="287"/>
      <c r="K20" s="287"/>
      <c r="L20" s="287"/>
      <c r="M20" s="364"/>
      <c r="N20" s="294"/>
      <c r="O20" s="366"/>
      <c r="P20" s="294"/>
      <c r="Q20" s="301"/>
      <c r="R20" s="301"/>
      <c r="S20" s="335"/>
    </row>
    <row r="21" spans="1:19" ht="12.75" customHeight="1" x14ac:dyDescent="0.2">
      <c r="A21" s="363" t="s">
        <v>324</v>
      </c>
      <c r="B21" s="363"/>
      <c r="C21" s="363"/>
      <c r="D21" s="363"/>
      <c r="E21" s="363"/>
      <c r="F21" s="363"/>
      <c r="G21" s="363"/>
      <c r="H21" s="287" t="s">
        <v>325</v>
      </c>
      <c r="I21" s="287" t="s">
        <v>326</v>
      </c>
      <c r="J21" s="287" t="s">
        <v>35</v>
      </c>
      <c r="K21" s="287" t="s">
        <v>327</v>
      </c>
      <c r="L21" s="287" t="s">
        <v>78</v>
      </c>
      <c r="M21" s="364">
        <v>1</v>
      </c>
      <c r="N21" s="294">
        <v>5.0000000000000001E-3</v>
      </c>
      <c r="O21" s="365">
        <v>1</v>
      </c>
      <c r="P21" s="294">
        <f>O21/M21</f>
        <v>1</v>
      </c>
      <c r="Q21" s="299">
        <f>IF(P21&lt;=100%,P21*N21,N21)</f>
        <v>5.0000000000000001E-3</v>
      </c>
      <c r="R21" s="299">
        <f>(Q21/2.3)*100</f>
        <v>0.21739130434782608</v>
      </c>
      <c r="S21" s="334" t="s">
        <v>444</v>
      </c>
    </row>
    <row r="22" spans="1:19" ht="138" customHeight="1" x14ac:dyDescent="0.2">
      <c r="A22" s="64" t="str">
        <f>+'Plan de desarrollo'!B4</f>
        <v>DIMENSIÓN 1: Creemos en la cultura ciudadana</v>
      </c>
      <c r="B22" s="65" t="s">
        <v>18</v>
      </c>
      <c r="C22" s="27">
        <f>+F22</f>
        <v>5.0000000000000001E-3</v>
      </c>
      <c r="D22" s="287" t="s">
        <v>328</v>
      </c>
      <c r="E22" s="287"/>
      <c r="F22" s="66">
        <f>+N21</f>
        <v>5.0000000000000001E-3</v>
      </c>
      <c r="G22" s="63" t="s">
        <v>307</v>
      </c>
      <c r="H22" s="287"/>
      <c r="I22" s="287"/>
      <c r="J22" s="287"/>
      <c r="K22" s="287"/>
      <c r="L22" s="287"/>
      <c r="M22" s="364"/>
      <c r="N22" s="294"/>
      <c r="O22" s="366"/>
      <c r="P22" s="294"/>
      <c r="Q22" s="301"/>
      <c r="R22" s="301"/>
      <c r="S22" s="335"/>
    </row>
    <row r="23" spans="1:19" ht="19.5" customHeight="1" x14ac:dyDescent="0.2">
      <c r="A23" s="304" t="s">
        <v>12</v>
      </c>
      <c r="B23" s="304"/>
      <c r="C23" s="304"/>
      <c r="D23" s="304"/>
      <c r="E23" s="304"/>
      <c r="F23" s="304"/>
      <c r="G23" s="304"/>
      <c r="H23" s="304"/>
      <c r="I23" s="304"/>
      <c r="J23" s="304"/>
      <c r="K23" s="304"/>
      <c r="L23" s="304"/>
      <c r="M23" s="304"/>
      <c r="N23" s="304"/>
      <c r="O23" s="304"/>
      <c r="P23" s="304"/>
      <c r="Q23" s="304"/>
      <c r="R23" s="44">
        <f>SUM(R11:R22)</f>
        <v>0.97608695652173905</v>
      </c>
      <c r="S23" s="216"/>
    </row>
    <row r="25" spans="1:19" ht="36" x14ac:dyDescent="0.2">
      <c r="C25" s="18">
        <f>+C12+C17+C22</f>
        <v>1.8000000000000002E-2</v>
      </c>
      <c r="S25" s="129" t="s">
        <v>366</v>
      </c>
    </row>
  </sheetData>
  <mergeCells count="87">
    <mergeCell ref="L11:L12"/>
    <mergeCell ref="M11:M12"/>
    <mergeCell ref="N11:N12"/>
    <mergeCell ref="O9:O10"/>
    <mergeCell ref="O11:O12"/>
    <mergeCell ref="A11:G11"/>
    <mergeCell ref="H11:H12"/>
    <mergeCell ref="I11:I12"/>
    <mergeCell ref="J11:J12"/>
    <mergeCell ref="K11:K12"/>
    <mergeCell ref="D12:E12"/>
    <mergeCell ref="A1:D3"/>
    <mergeCell ref="H9:M9"/>
    <mergeCell ref="N9:N10"/>
    <mergeCell ref="A4:S4"/>
    <mergeCell ref="C9:C10"/>
    <mergeCell ref="D9:E10"/>
    <mergeCell ref="F9:F10"/>
    <mergeCell ref="G9:G10"/>
    <mergeCell ref="A5:S5"/>
    <mergeCell ref="A6:S6"/>
    <mergeCell ref="A8:N8"/>
    <mergeCell ref="A9:A10"/>
    <mergeCell ref="B9:B10"/>
    <mergeCell ref="S9:S10"/>
    <mergeCell ref="P9:P10"/>
    <mergeCell ref="Q9:Q10"/>
    <mergeCell ref="P11:P12"/>
    <mergeCell ref="A7:S7"/>
    <mergeCell ref="G17:G18"/>
    <mergeCell ref="P16:P17"/>
    <mergeCell ref="Q16:Q17"/>
    <mergeCell ref="R16:R17"/>
    <mergeCell ref="A16:G16"/>
    <mergeCell ref="A17:A18"/>
    <mergeCell ref="B17:B18"/>
    <mergeCell ref="C17:C18"/>
    <mergeCell ref="D17:E18"/>
    <mergeCell ref="R11:R12"/>
    <mergeCell ref="S16:S17"/>
    <mergeCell ref="S11:S12"/>
    <mergeCell ref="Q11:Q12"/>
    <mergeCell ref="R9:R10"/>
    <mergeCell ref="M16:M17"/>
    <mergeCell ref="N16:N17"/>
    <mergeCell ref="P19:P20"/>
    <mergeCell ref="Q19:Q20"/>
    <mergeCell ref="R19:R20"/>
    <mergeCell ref="O16:O17"/>
    <mergeCell ref="H16:H17"/>
    <mergeCell ref="I16:I17"/>
    <mergeCell ref="J16:J17"/>
    <mergeCell ref="K16:K17"/>
    <mergeCell ref="L16:L17"/>
    <mergeCell ref="D13:E13"/>
    <mergeCell ref="C12:C15"/>
    <mergeCell ref="B12:B15"/>
    <mergeCell ref="A12:A15"/>
    <mergeCell ref="D14:E14"/>
    <mergeCell ref="D15:E15"/>
    <mergeCell ref="N19:N20"/>
    <mergeCell ref="A23:Q23"/>
    <mergeCell ref="P21:P22"/>
    <mergeCell ref="Q21:Q22"/>
    <mergeCell ref="D20:E20"/>
    <mergeCell ref="A19:G19"/>
    <mergeCell ref="H19:H20"/>
    <mergeCell ref="I19:I20"/>
    <mergeCell ref="J19:J20"/>
    <mergeCell ref="O19:O20"/>
    <mergeCell ref="O21:O22"/>
    <mergeCell ref="E1:S3"/>
    <mergeCell ref="S21:S22"/>
    <mergeCell ref="D22:E22"/>
    <mergeCell ref="A21:G21"/>
    <mergeCell ref="H21:H22"/>
    <mergeCell ref="I21:I22"/>
    <mergeCell ref="J21:J22"/>
    <mergeCell ref="K21:K22"/>
    <mergeCell ref="R21:R22"/>
    <mergeCell ref="L21:L22"/>
    <mergeCell ref="M21:M22"/>
    <mergeCell ref="N21:N22"/>
    <mergeCell ref="S19:S20"/>
    <mergeCell ref="K19:K20"/>
    <mergeCell ref="L19:L20"/>
    <mergeCell ref="M19:M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Plan de desarrollo</vt:lpstr>
      <vt:lpstr>Objetivos Estratégicos</vt:lpstr>
      <vt:lpstr>Gerencia</vt:lpstr>
      <vt:lpstr>Planeación</vt:lpstr>
      <vt:lpstr>G. Programación</vt:lpstr>
      <vt:lpstr>G. Producción</vt:lpstr>
      <vt:lpstr>G. Agencia y Central.</vt:lpstr>
      <vt:lpstr>G. Técnica.</vt:lpstr>
      <vt:lpstr>G. Humana</vt:lpstr>
      <vt:lpstr>G. Jurídica</vt:lpstr>
      <vt:lpstr>G. Adtiva y Fra</vt:lpstr>
      <vt:lpstr>G. Control Interno</vt:lpstr>
      <vt:lpstr>G. Comunicaciones</vt:lpstr>
      <vt:lpstr>'Objetivos Estratégicos'!Área_de_impresión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2016-09-14T20:56:23Z</cp:lastPrinted>
  <dcterms:created xsi:type="dcterms:W3CDTF">2014-02-10T16:24:57Z</dcterms:created>
  <dcterms:modified xsi:type="dcterms:W3CDTF">2018-02-15T14:37:52Z</dcterms:modified>
</cp:coreProperties>
</file>